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and_Planejamento_Contratação_Manut_COMBATE a INCÊNDIO\1_Planejamento_Contratação_Combate_Incêndio\7 - TERMO DE REFERÊNCIA\"/>
    </mc:Choice>
  </mc:AlternateContent>
  <xr:revisionPtr revIDLastSave="0" documentId="13_ncr:1_{81647105-82FB-45CA-970D-10331E9D6D56}" xr6:coauthVersionLast="47" xr6:coauthVersionMax="47" xr10:uidLastSave="{00000000-0000-0000-0000-000000000000}"/>
  <bookViews>
    <workbookView xWindow="28680" yWindow="-120" windowWidth="29040" windowHeight="15840" tabRatio="915" activeTab="1" xr2:uid="{00000000-000D-0000-FFFF-FFFF00000000}"/>
  </bookViews>
  <sheets>
    <sheet name="Planilha SINTÉTICA" sheetId="9" r:id="rId1"/>
    <sheet name="1. Serviços Manut. PREVENTIVA" sheetId="1" r:id="rId2"/>
    <sheet name="2 Mão de Obra Manut. Corretiva" sheetId="13" r:id="rId3"/>
    <sheet name="3 Serviços Manut. CORRETIVA" sheetId="15" r:id="rId4"/>
    <sheet name="4 -Composição_Equipe Preventiva" sheetId="2" r:id="rId5"/>
    <sheet name="Composição BDI" sheetId="14" r:id="rId6"/>
    <sheet name="Cronograma M_PRVENTIVA" sheetId="16" r:id="rId7"/>
    <sheet name="CRONOGRAMA M CORRETIVA" sheetId="17" r:id="rId8"/>
  </sheets>
  <externalReferences>
    <externalReference r:id="rId9"/>
    <externalReference r:id="rId10"/>
    <externalReference r:id="rId11"/>
  </externalReferences>
  <definedNames>
    <definedName name="___med01">#REF!</definedName>
    <definedName name="_med01">#REF!</definedName>
    <definedName name="aaa">#REF!</definedName>
    <definedName name="ABA">#REF!</definedName>
    <definedName name="AEletricista">#REF!</definedName>
    <definedName name="Anual" localSheetId="3">'3 Serviços Manut. CORRETIVA'!#REF!</definedName>
    <definedName name="Anual">'1. Serviços Manut. PREVENTIVA'!$O$15</definedName>
    <definedName name="Apedreiro">#REF!</definedName>
    <definedName name="_xlnm.Print_Area" localSheetId="1">'1. Serviços Manut. PREVENTIVA'!$A$1:$J$73</definedName>
    <definedName name="_xlnm.Print_Area" localSheetId="2">'2 Mão de Obra Manut. Corretiva'!$A$1:$J$28</definedName>
    <definedName name="_xlnm.Print_Area" localSheetId="3">'3 Serviços Manut. CORRETIVA'!$A$1:$I$261</definedName>
    <definedName name="_xlnm.Print_Area" localSheetId="4">'4 -Composição_Equipe Preventiva'!$A$1:$H$47</definedName>
    <definedName name="_xlnm.Print_Area" localSheetId="5">'Composição BDI'!$A$1:$C$17</definedName>
    <definedName name="_xlnm.Print_Area" localSheetId="7">'CRONOGRAMA M CORRETIVA'!$A$1:$J$37</definedName>
    <definedName name="_xlnm.Print_Area" localSheetId="6">'Cronograma M_PRVENTIVA'!$A$1:$P$40</definedName>
    <definedName name="_xlnm.Print_Area" localSheetId="0">'Planilha SINTÉTICA'!$A$1:$G$26</definedName>
    <definedName name="ASD">#REF!</definedName>
    <definedName name="ATR">#REF!</definedName>
    <definedName name="AWQ">#REF!</definedName>
    <definedName name="B">#REF!</definedName>
    <definedName name="bb">#REF!</definedName>
    <definedName name="BDI" localSheetId="1">'1. Serviços Manut. PREVENTIVA'!$J$9</definedName>
    <definedName name="BDI" localSheetId="2">'2 Mão de Obra Manut. Corretiva'!$H$8</definedName>
    <definedName name="BDI" localSheetId="3">'3 Serviços Manut. CORRETIVA'!#REF!</definedName>
    <definedName name="BDI" localSheetId="4">'4 -Composição_Equipe Preventiva'!$H$9</definedName>
    <definedName name="BDI" localSheetId="0">'Planilha SINTÉTICA'!$G$9</definedName>
    <definedName name="BDI">#REF!</definedName>
    <definedName name="BGR">#REF!</definedName>
    <definedName name="BNM">#REF!</definedName>
    <definedName name="BVC">#REF!</definedName>
    <definedName name="carpinteiro">#REF!</definedName>
    <definedName name="ÇLJ">#REF!</definedName>
    <definedName name="ÇLK">#REF!</definedName>
    <definedName name="CMM">#REF!</definedName>
    <definedName name="CRI">#REF!</definedName>
    <definedName name="CXVB">#REF!</definedName>
    <definedName name="DAS">#REF!</definedName>
    <definedName name="DBL">#REF!</definedName>
    <definedName name="DE">#REF!</definedName>
    <definedName name="DER">#REF!</definedName>
    <definedName name="DF">#REF!</definedName>
    <definedName name="DFG">#REF!</definedName>
    <definedName name="dfgg">#REF!</definedName>
    <definedName name="DFSGS">#REF!</definedName>
    <definedName name="DSF">#REF!</definedName>
    <definedName name="ELE">#REF!</definedName>
    <definedName name="Eletricista">#REF!</definedName>
    <definedName name="ERER">#REF!</definedName>
    <definedName name="ES">#REF!</definedName>
    <definedName name="FDS">#REF!</definedName>
    <definedName name="FGFG">#REF!</definedName>
    <definedName name="FGJ">#REF!</definedName>
    <definedName name="FGJH">#REF!</definedName>
    <definedName name="FILHO">#REF!</definedName>
    <definedName name="GDD">#REF!</definedName>
    <definedName name="GDDF">#REF!</definedName>
    <definedName name="GDG">#REF!</definedName>
    <definedName name="ge">#REF!</definedName>
    <definedName name="gfsd">#REF!</definedName>
    <definedName name="GHJ">#REF!</definedName>
    <definedName name="GJKG">#REF!</definedName>
    <definedName name="GSDD">#REF!</definedName>
    <definedName name="HBCZ">#REF!</definedName>
    <definedName name="HGF">#REF!</definedName>
    <definedName name="HGJ">#REF!</definedName>
    <definedName name="HH">#REF!</definedName>
    <definedName name="HHH">#REF!</definedName>
    <definedName name="HJG">#REF!</definedName>
    <definedName name="HKK">#REF!</definedName>
    <definedName name="iu">#REF!</definedName>
    <definedName name="JGGJ">#REF!</definedName>
    <definedName name="JHC">#REF!</definedName>
    <definedName name="JHJ">#REF!</definedName>
    <definedName name="JHK">#REF!</definedName>
    <definedName name="JK">#REF!</definedName>
    <definedName name="KJH">#REF!</definedName>
    <definedName name="KJKJK">#REF!</definedName>
    <definedName name="LDI">#REF!</definedName>
    <definedName name="LJK">#REF!</definedName>
    <definedName name="MARCUS">#REF!</definedName>
    <definedName name="MBNM">#REF!</definedName>
    <definedName name="MED">#REF!</definedName>
    <definedName name="Mensal" localSheetId="3">'3 Serviços Manut. CORRETIVA'!#REF!</definedName>
    <definedName name="Mensal">'1. Serviços Manut. PREVENTIVA'!$M$15</definedName>
    <definedName name="MJU">#REF!</definedName>
    <definedName name="MJY">#REF!</definedName>
    <definedName name="OLI">#REF!</definedName>
    <definedName name="opa">#REF!</definedName>
    <definedName name="PAI">#REF!</definedName>
    <definedName name="PED">#REF!</definedName>
    <definedName name="Pedreiro">#REF!</definedName>
    <definedName name="POI">#REF!</definedName>
    <definedName name="QAS">#REF!</definedName>
    <definedName name="QWE">#REF!</definedName>
    <definedName name="QWREWQ">#REF!</definedName>
    <definedName name="REW">#REF!</definedName>
    <definedName name="RYY">#REF!</definedName>
    <definedName name="SA">#REF!</definedName>
    <definedName name="SADF">#REF!</definedName>
    <definedName name="SD">#REF!</definedName>
    <definedName name="SDFGG">#REF!</definedName>
    <definedName name="Semestral" localSheetId="3">'3 Serviços Manut. CORRETIVA'!#REF!</definedName>
    <definedName name="Semestral">'1. Serviços Manut. PREVENTIVA'!$N$15</definedName>
    <definedName name="servente">#REF!</definedName>
    <definedName name="serviços">'3 Serviços Manut. CORRETIVA'!$I$9</definedName>
    <definedName name="SET">#REF!</definedName>
    <definedName name="SFH">#REF!</definedName>
    <definedName name="SOLO">#REF!</definedName>
    <definedName name="_xlnm.Print_Titles" localSheetId="1">'1. Serviços Manut. PREVENTIVA'!$1:$14</definedName>
    <definedName name="_xlnm.Print_Titles" localSheetId="2">'2 Mão de Obra Manut. Corretiva'!$1:$12</definedName>
    <definedName name="_xlnm.Print_Titles" localSheetId="3">'3 Serviços Manut. CORRETIVA'!$1:$13</definedName>
    <definedName name="_xlnm.Print_Titles" localSheetId="4">'4 -Composição_Equipe Preventiva'!$1:$12</definedName>
    <definedName name="_xlnm.Print_Titles" localSheetId="0">'Planilha SINTÉTICA'!$1:$14</definedName>
    <definedName name="ui">#REF!</definedName>
    <definedName name="UYTY">#REF!</definedName>
    <definedName name="VB">#REF!</definedName>
    <definedName name="VCB">#REF!</definedName>
    <definedName name="VCX">#REF!</definedName>
    <definedName name="WSD">#REF!</definedName>
    <definedName name="XFG">#REF!</definedName>
    <definedName name="XSW">#REF!</definedName>
    <definedName name="YTU">#REF!</definedName>
    <definedName name="ZAS">#REF!</definedName>
    <definedName name="ZCB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61" i="1" l="1"/>
  <c r="K30" i="1"/>
  <c r="K29" i="1"/>
  <c r="H18" i="1" l="1"/>
  <c r="I7" i="13"/>
  <c r="G10" i="9"/>
  <c r="E32" i="17"/>
  <c r="G32" i="17" s="1"/>
  <c r="D32" i="17"/>
  <c r="J31" i="17"/>
  <c r="D29" i="17"/>
  <c r="J28" i="17"/>
  <c r="J25" i="17"/>
  <c r="I23" i="17"/>
  <c r="H23" i="17"/>
  <c r="E23" i="17"/>
  <c r="D23" i="17"/>
  <c r="J22" i="17"/>
  <c r="I20" i="17"/>
  <c r="H20" i="17"/>
  <c r="G20" i="17"/>
  <c r="F20" i="17"/>
  <c r="J19" i="17"/>
  <c r="J16" i="17"/>
  <c r="H11" i="16"/>
  <c r="P16" i="16"/>
  <c r="E29" i="17" l="1"/>
  <c r="F32" i="17"/>
  <c r="A34" i="16" l="1"/>
  <c r="A31" i="16"/>
  <c r="A28" i="16"/>
  <c r="A25" i="16"/>
  <c r="A22" i="16"/>
  <c r="A19" i="16"/>
  <c r="A16" i="16"/>
  <c r="K18" i="13"/>
  <c r="K17" i="13"/>
  <c r="K16" i="13"/>
  <c r="K15" i="13"/>
  <c r="K22" i="13"/>
  <c r="F22" i="13" s="1"/>
  <c r="F23" i="13" s="1"/>
  <c r="F68" i="1"/>
  <c r="F61" i="1" l="1"/>
  <c r="F62" i="1" s="1"/>
  <c r="F65" i="1"/>
  <c r="F16" i="13"/>
  <c r="H16" i="13" s="1"/>
  <c r="F15" i="13"/>
  <c r="F19" i="13" s="1"/>
  <c r="H19" i="13" s="1"/>
  <c r="G253" i="15"/>
  <c r="H253" i="15" s="1"/>
  <c r="G252" i="15"/>
  <c r="H252" i="15" s="1"/>
  <c r="G251" i="15"/>
  <c r="H251" i="15" s="1"/>
  <c r="G250" i="15"/>
  <c r="H250" i="15" s="1"/>
  <c r="G249" i="15"/>
  <c r="H249" i="15" s="1"/>
  <c r="G248" i="15"/>
  <c r="G247" i="15"/>
  <c r="H247" i="15" s="1"/>
  <c r="G246" i="15"/>
  <c r="H246" i="15" s="1"/>
  <c r="G245" i="15"/>
  <c r="G244" i="15"/>
  <c r="H244" i="15" s="1"/>
  <c r="D253" i="15"/>
  <c r="D252" i="15"/>
  <c r="D251" i="15"/>
  <c r="D250" i="15"/>
  <c r="D249" i="15"/>
  <c r="D248" i="15"/>
  <c r="D247" i="15"/>
  <c r="D246" i="15"/>
  <c r="D245" i="15"/>
  <c r="D244" i="15"/>
  <c r="G243" i="15"/>
  <c r="H243" i="15" s="1"/>
  <c r="D243" i="15"/>
  <c r="G242" i="15"/>
  <c r="H242" i="15" s="1"/>
  <c r="D242" i="15"/>
  <c r="G241" i="15"/>
  <c r="H241" i="15" s="1"/>
  <c r="D241" i="15"/>
  <c r="G236" i="15"/>
  <c r="H236" i="15" s="1"/>
  <c r="D236" i="15"/>
  <c r="G235" i="15"/>
  <c r="H235" i="15" s="1"/>
  <c r="D235" i="15"/>
  <c r="G234" i="15"/>
  <c r="H234" i="15" s="1"/>
  <c r="G233" i="15"/>
  <c r="H233" i="15" s="1"/>
  <c r="G232" i="15"/>
  <c r="H232" i="15" s="1"/>
  <c r="D234" i="15"/>
  <c r="D233" i="15"/>
  <c r="D232" i="15"/>
  <c r="G231" i="15"/>
  <c r="H231" i="15" s="1"/>
  <c r="G230" i="15"/>
  <c r="H230" i="15" s="1"/>
  <c r="G229" i="15"/>
  <c r="H229" i="15" s="1"/>
  <c r="G228" i="15"/>
  <c r="G227" i="15"/>
  <c r="H227" i="15" s="1"/>
  <c r="G226" i="15"/>
  <c r="H226" i="15" s="1"/>
  <c r="G225" i="15"/>
  <c r="H225" i="15" s="1"/>
  <c r="G224" i="15"/>
  <c r="H224" i="15" s="1"/>
  <c r="D231" i="15"/>
  <c r="D230" i="15"/>
  <c r="D229" i="15"/>
  <c r="D228" i="15"/>
  <c r="D227" i="15"/>
  <c r="D226" i="15"/>
  <c r="D225" i="15"/>
  <c r="D224" i="15"/>
  <c r="G223" i="15"/>
  <c r="H223" i="15" s="1"/>
  <c r="G222" i="15"/>
  <c r="H222" i="15" s="1"/>
  <c r="G221" i="15"/>
  <c r="H221" i="15" s="1"/>
  <c r="G220" i="15"/>
  <c r="H220" i="15" s="1"/>
  <c r="G219" i="15"/>
  <c r="H219" i="15" s="1"/>
  <c r="G218" i="15"/>
  <c r="G217" i="15"/>
  <c r="H217" i="15" s="1"/>
  <c r="G216" i="15"/>
  <c r="H216" i="15" s="1"/>
  <c r="G215" i="15"/>
  <c r="H215" i="15" s="1"/>
  <c r="G214" i="15"/>
  <c r="H214" i="15" s="1"/>
  <c r="G213" i="15"/>
  <c r="H213" i="15" s="1"/>
  <c r="G212" i="15"/>
  <c r="H212" i="15" s="1"/>
  <c r="G211" i="15"/>
  <c r="H211" i="15" s="1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G210" i="15"/>
  <c r="H210" i="15" s="1"/>
  <c r="G209" i="15"/>
  <c r="H209" i="15" s="1"/>
  <c r="G208" i="15"/>
  <c r="H208" i="15" s="1"/>
  <c r="G207" i="15"/>
  <c r="H207" i="15" s="1"/>
  <c r="G206" i="15"/>
  <c r="H206" i="15" s="1"/>
  <c r="D210" i="15"/>
  <c r="D209" i="15"/>
  <c r="D208" i="15"/>
  <c r="D207" i="15"/>
  <c r="D206" i="15"/>
  <c r="G205" i="15"/>
  <c r="H205" i="15" s="1"/>
  <c r="G204" i="15"/>
  <c r="H204" i="15" s="1"/>
  <c r="G203" i="15"/>
  <c r="H203" i="15" s="1"/>
  <c r="G202" i="15"/>
  <c r="H202" i="15" s="1"/>
  <c r="G201" i="15"/>
  <c r="H201" i="15" s="1"/>
  <c r="D205" i="15"/>
  <c r="D204" i="15"/>
  <c r="D203" i="15"/>
  <c r="D202" i="15"/>
  <c r="D201" i="15"/>
  <c r="G200" i="15"/>
  <c r="H200" i="15" s="1"/>
  <c r="D200" i="15"/>
  <c r="C200" i="15"/>
  <c r="G199" i="15"/>
  <c r="H199" i="15" s="1"/>
  <c r="D199" i="15"/>
  <c r="G23" i="15"/>
  <c r="H23" i="15" s="1"/>
  <c r="D23" i="15"/>
  <c r="G22" i="15"/>
  <c r="H22" i="15" s="1"/>
  <c r="D22" i="15"/>
  <c r="C22" i="15"/>
  <c r="G50" i="15"/>
  <c r="H50" i="15" s="1"/>
  <c r="D50" i="15"/>
  <c r="G49" i="15"/>
  <c r="H49" i="15" s="1"/>
  <c r="D49" i="15"/>
  <c r="G48" i="15"/>
  <c r="H48" i="15" s="1"/>
  <c r="D48" i="15"/>
  <c r="G47" i="15"/>
  <c r="H47" i="15" s="1"/>
  <c r="D47" i="15"/>
  <c r="G195" i="15"/>
  <c r="H195" i="15" s="1"/>
  <c r="G194" i="15"/>
  <c r="H194" i="15" s="1"/>
  <c r="G193" i="15"/>
  <c r="H193" i="15" s="1"/>
  <c r="G192" i="15"/>
  <c r="H192" i="15" s="1"/>
  <c r="G191" i="15"/>
  <c r="H191" i="15" s="1"/>
  <c r="G190" i="15"/>
  <c r="H190" i="15" s="1"/>
  <c r="G189" i="15"/>
  <c r="H189" i="15" s="1"/>
  <c r="G188" i="15"/>
  <c r="H188" i="15" s="1"/>
  <c r="G187" i="15"/>
  <c r="H187" i="15" s="1"/>
  <c r="D195" i="15"/>
  <c r="D194" i="15"/>
  <c r="D193" i="15"/>
  <c r="D192" i="15"/>
  <c r="D191" i="15"/>
  <c r="D190" i="15"/>
  <c r="D189" i="15"/>
  <c r="D188" i="15"/>
  <c r="D187" i="15"/>
  <c r="G186" i="15"/>
  <c r="H186" i="15" s="1"/>
  <c r="G185" i="15"/>
  <c r="H185" i="15" s="1"/>
  <c r="G184" i="15"/>
  <c r="H184" i="15" s="1"/>
  <c r="G183" i="15"/>
  <c r="H183" i="15" s="1"/>
  <c r="D186" i="15"/>
  <c r="D185" i="15"/>
  <c r="D184" i="15"/>
  <c r="D183" i="15"/>
  <c r="G182" i="15"/>
  <c r="H182" i="15" s="1"/>
  <c r="D182" i="15"/>
  <c r="G181" i="15"/>
  <c r="H181" i="15" s="1"/>
  <c r="G180" i="15"/>
  <c r="H180" i="15" s="1"/>
  <c r="G179" i="15"/>
  <c r="H179" i="15" s="1"/>
  <c r="G178" i="15"/>
  <c r="H178" i="15" s="1"/>
  <c r="G177" i="15"/>
  <c r="H177" i="15" s="1"/>
  <c r="G176" i="15"/>
  <c r="H176" i="15" s="1"/>
  <c r="G175" i="15"/>
  <c r="H175" i="15" s="1"/>
  <c r="G174" i="15"/>
  <c r="H174" i="15" s="1"/>
  <c r="G173" i="15"/>
  <c r="H173" i="15" s="1"/>
  <c r="G172" i="15"/>
  <c r="H172" i="15" s="1"/>
  <c r="D181" i="15"/>
  <c r="D180" i="15"/>
  <c r="D179" i="15"/>
  <c r="D178" i="15"/>
  <c r="D177" i="15"/>
  <c r="D176" i="15"/>
  <c r="D175" i="15"/>
  <c r="D174" i="15"/>
  <c r="D173" i="15"/>
  <c r="D172" i="15"/>
  <c r="G171" i="15"/>
  <c r="H171" i="15" s="1"/>
  <c r="D171" i="15"/>
  <c r="C171" i="15"/>
  <c r="G170" i="15"/>
  <c r="H170" i="15" s="1"/>
  <c r="D170" i="15"/>
  <c r="C170" i="15"/>
  <c r="G169" i="15"/>
  <c r="H169" i="15" s="1"/>
  <c r="D169" i="15"/>
  <c r="C169" i="15"/>
  <c r="G168" i="15"/>
  <c r="H168" i="15" s="1"/>
  <c r="D168" i="15"/>
  <c r="C168" i="15"/>
  <c r="G167" i="15"/>
  <c r="H167" i="15" s="1"/>
  <c r="D167" i="15"/>
  <c r="G166" i="15"/>
  <c r="H166" i="15" s="1"/>
  <c r="G165" i="15"/>
  <c r="H165" i="15" s="1"/>
  <c r="D166" i="15"/>
  <c r="D165" i="15"/>
  <c r="G164" i="15"/>
  <c r="H164" i="15" s="1"/>
  <c r="G163" i="15"/>
  <c r="H163" i="15" s="1"/>
  <c r="G162" i="15"/>
  <c r="H162" i="15" s="1"/>
  <c r="G161" i="15"/>
  <c r="H161" i="15" s="1"/>
  <c r="D164" i="15"/>
  <c r="D163" i="15"/>
  <c r="D162" i="15"/>
  <c r="D161" i="15"/>
  <c r="G160" i="15"/>
  <c r="H160" i="15" s="1"/>
  <c r="D160" i="15"/>
  <c r="G159" i="15"/>
  <c r="H159" i="15" s="1"/>
  <c r="D159" i="15"/>
  <c r="G158" i="15"/>
  <c r="H158" i="15" s="1"/>
  <c r="G157" i="15"/>
  <c r="H157" i="15" s="1"/>
  <c r="G156" i="15"/>
  <c r="H156" i="15" s="1"/>
  <c r="G155" i="15"/>
  <c r="H155" i="15" s="1"/>
  <c r="G154" i="15"/>
  <c r="H154" i="15" s="1"/>
  <c r="G153" i="15"/>
  <c r="H153" i="15" s="1"/>
  <c r="G152" i="15"/>
  <c r="H152" i="15" s="1"/>
  <c r="G151" i="15"/>
  <c r="H151" i="15" s="1"/>
  <c r="G150" i="15"/>
  <c r="H150" i="15" s="1"/>
  <c r="G149" i="15"/>
  <c r="H149" i="15" s="1"/>
  <c r="D158" i="15"/>
  <c r="D157" i="15"/>
  <c r="D156" i="15"/>
  <c r="D155" i="15"/>
  <c r="D154" i="15"/>
  <c r="D153" i="15"/>
  <c r="D152" i="15"/>
  <c r="D151" i="15"/>
  <c r="D150" i="15"/>
  <c r="D149" i="15"/>
  <c r="G148" i="15"/>
  <c r="H148" i="15" s="1"/>
  <c r="D148" i="15"/>
  <c r="G147" i="15"/>
  <c r="H147" i="15" s="1"/>
  <c r="D147" i="15"/>
  <c r="G146" i="15"/>
  <c r="H146" i="15" s="1"/>
  <c r="D146" i="15"/>
  <c r="G145" i="15"/>
  <c r="H145" i="15" s="1"/>
  <c r="D145" i="15"/>
  <c r="G144" i="15"/>
  <c r="H144" i="15" s="1"/>
  <c r="D144" i="15"/>
  <c r="G143" i="15"/>
  <c r="H143" i="15" s="1"/>
  <c r="G142" i="15"/>
  <c r="H142" i="15" s="1"/>
  <c r="D143" i="15"/>
  <c r="D142" i="15"/>
  <c r="G141" i="15"/>
  <c r="H141" i="15" s="1"/>
  <c r="D141" i="15"/>
  <c r="G140" i="15"/>
  <c r="H140" i="15" s="1"/>
  <c r="D140" i="15"/>
  <c r="G139" i="15"/>
  <c r="H139" i="15" s="1"/>
  <c r="D139" i="15"/>
  <c r="G138" i="15"/>
  <c r="H138" i="15" s="1"/>
  <c r="D138" i="15"/>
  <c r="G137" i="15"/>
  <c r="H137" i="15" s="1"/>
  <c r="D137" i="15"/>
  <c r="G136" i="15"/>
  <c r="H136" i="15" s="1"/>
  <c r="D136" i="15"/>
  <c r="G135" i="15"/>
  <c r="H135" i="15" s="1"/>
  <c r="D135" i="15"/>
  <c r="G134" i="15"/>
  <c r="H134" i="15" s="1"/>
  <c r="D134" i="15"/>
  <c r="G133" i="15"/>
  <c r="H133" i="15" s="1"/>
  <c r="D133" i="15"/>
  <c r="G132" i="15"/>
  <c r="H132" i="15" s="1"/>
  <c r="D132" i="15"/>
  <c r="G131" i="15"/>
  <c r="H131" i="15" s="1"/>
  <c r="D131" i="15"/>
  <c r="G130" i="15"/>
  <c r="H130" i="15" s="1"/>
  <c r="D130" i="15"/>
  <c r="G129" i="15"/>
  <c r="H129" i="15" s="1"/>
  <c r="D129" i="15"/>
  <c r="G128" i="15"/>
  <c r="H128" i="15" s="1"/>
  <c r="D128" i="15"/>
  <c r="G127" i="15"/>
  <c r="H127" i="15" s="1"/>
  <c r="D127" i="15"/>
  <c r="G126" i="15"/>
  <c r="H126" i="15" s="1"/>
  <c r="G125" i="15"/>
  <c r="H125" i="15" s="1"/>
  <c r="G124" i="15"/>
  <c r="H124" i="15" s="1"/>
  <c r="G123" i="15"/>
  <c r="H123" i="15" s="1"/>
  <c r="G122" i="15"/>
  <c r="H122" i="15" s="1"/>
  <c r="G121" i="15"/>
  <c r="H121" i="15" s="1"/>
  <c r="G120" i="15"/>
  <c r="H120" i="15" s="1"/>
  <c r="G119" i="15"/>
  <c r="H119" i="15" s="1"/>
  <c r="G118" i="15"/>
  <c r="H118" i="15" s="1"/>
  <c r="G117" i="15"/>
  <c r="H117" i="15" s="1"/>
  <c r="D126" i="15"/>
  <c r="D125" i="15"/>
  <c r="D124" i="15"/>
  <c r="D123" i="15"/>
  <c r="D122" i="15"/>
  <c r="D121" i="15"/>
  <c r="D120" i="15"/>
  <c r="D119" i="15"/>
  <c r="D118" i="15"/>
  <c r="D117" i="15"/>
  <c r="G116" i="15"/>
  <c r="H116" i="15" s="1"/>
  <c r="G115" i="15"/>
  <c r="H115" i="15" s="1"/>
  <c r="G114" i="15"/>
  <c r="H114" i="15" s="1"/>
  <c r="G113" i="15"/>
  <c r="H113" i="15" s="1"/>
  <c r="G112" i="15"/>
  <c r="H112" i="15" s="1"/>
  <c r="G111" i="15"/>
  <c r="H111" i="15" s="1"/>
  <c r="G110" i="15"/>
  <c r="H110" i="15" s="1"/>
  <c r="D116" i="15"/>
  <c r="D115" i="15"/>
  <c r="D114" i="15"/>
  <c r="D113" i="15"/>
  <c r="D112" i="15"/>
  <c r="D111" i="15"/>
  <c r="D110" i="15"/>
  <c r="D91" i="15"/>
  <c r="G109" i="15"/>
  <c r="H109" i="15" s="1"/>
  <c r="G108" i="15"/>
  <c r="H108" i="15" s="1"/>
  <c r="G107" i="15"/>
  <c r="H107" i="15" s="1"/>
  <c r="G106" i="15"/>
  <c r="H106" i="15" s="1"/>
  <c r="G105" i="15"/>
  <c r="H105" i="15" s="1"/>
  <c r="D109" i="15"/>
  <c r="D108" i="15"/>
  <c r="D107" i="15"/>
  <c r="D106" i="15"/>
  <c r="D105" i="15"/>
  <c r="G104" i="15"/>
  <c r="H104" i="15" s="1"/>
  <c r="G103" i="15"/>
  <c r="H103" i="15" s="1"/>
  <c r="G102" i="15"/>
  <c r="H102" i="15" s="1"/>
  <c r="G101" i="15"/>
  <c r="H101" i="15" s="1"/>
  <c r="G100" i="15"/>
  <c r="H100" i="15" s="1"/>
  <c r="D104" i="15"/>
  <c r="D103" i="15"/>
  <c r="D102" i="15"/>
  <c r="D101" i="15"/>
  <c r="D100" i="15"/>
  <c r="G99" i="15"/>
  <c r="H99" i="15" s="1"/>
  <c r="G98" i="15"/>
  <c r="H98" i="15" s="1"/>
  <c r="G97" i="15"/>
  <c r="H97" i="15" s="1"/>
  <c r="G96" i="15"/>
  <c r="H96" i="15" s="1"/>
  <c r="G95" i="15"/>
  <c r="H95" i="15" s="1"/>
  <c r="D99" i="15"/>
  <c r="D98" i="15"/>
  <c r="D97" i="15"/>
  <c r="D96" i="15"/>
  <c r="D95" i="15"/>
  <c r="G94" i="15"/>
  <c r="H94" i="15" s="1"/>
  <c r="D94" i="15"/>
  <c r="G93" i="15"/>
  <c r="H93" i="15" s="1"/>
  <c r="D93" i="15"/>
  <c r="G92" i="15"/>
  <c r="H92" i="15" s="1"/>
  <c r="D92" i="15"/>
  <c r="G91" i="15"/>
  <c r="H91" i="15" s="1"/>
  <c r="G90" i="15"/>
  <c r="H90" i="15" s="1"/>
  <c r="D90" i="15"/>
  <c r="G89" i="15"/>
  <c r="H89" i="15" s="1"/>
  <c r="G88" i="15"/>
  <c r="H88" i="15" s="1"/>
  <c r="G87" i="15"/>
  <c r="H87" i="15" s="1"/>
  <c r="G86" i="15"/>
  <c r="H86" i="15" s="1"/>
  <c r="G85" i="15"/>
  <c r="H85" i="15" s="1"/>
  <c r="G84" i="15"/>
  <c r="H84" i="15" s="1"/>
  <c r="G83" i="15"/>
  <c r="H83" i="15" s="1"/>
  <c r="D89" i="15"/>
  <c r="D88" i="15"/>
  <c r="D87" i="15"/>
  <c r="D86" i="15"/>
  <c r="D85" i="15"/>
  <c r="D84" i="15"/>
  <c r="D83" i="15"/>
  <c r="G82" i="15"/>
  <c r="H82" i="15" s="1"/>
  <c r="D82" i="15"/>
  <c r="C83" i="15"/>
  <c r="C82" i="15"/>
  <c r="G81" i="15"/>
  <c r="H81" i="15" s="1"/>
  <c r="G80" i="15"/>
  <c r="H80" i="15" s="1"/>
  <c r="D81" i="15"/>
  <c r="D80" i="15"/>
  <c r="C81" i="15"/>
  <c r="C80" i="15"/>
  <c r="G79" i="15"/>
  <c r="H79" i="15" s="1"/>
  <c r="D79" i="15"/>
  <c r="C79" i="15"/>
  <c r="G78" i="15"/>
  <c r="H78" i="15" s="1"/>
  <c r="D78" i="15"/>
  <c r="C78" i="15"/>
  <c r="G77" i="15"/>
  <c r="H77" i="15" s="1"/>
  <c r="D77" i="15"/>
  <c r="C77" i="15"/>
  <c r="G76" i="15"/>
  <c r="H76" i="15" s="1"/>
  <c r="D76" i="15"/>
  <c r="C76" i="15"/>
  <c r="G75" i="15"/>
  <c r="H75" i="15" s="1"/>
  <c r="D75" i="15"/>
  <c r="C75" i="15"/>
  <c r="G74" i="15"/>
  <c r="H74" i="15" s="1"/>
  <c r="D74" i="15"/>
  <c r="C74" i="15"/>
  <c r="G73" i="15"/>
  <c r="H73" i="15" s="1"/>
  <c r="D73" i="15"/>
  <c r="C73" i="15"/>
  <c r="G72" i="15"/>
  <c r="H72" i="15" s="1"/>
  <c r="D72" i="15"/>
  <c r="C72" i="15"/>
  <c r="G71" i="15"/>
  <c r="H71" i="15" s="1"/>
  <c r="D71" i="15"/>
  <c r="C71" i="15"/>
  <c r="G70" i="15"/>
  <c r="H70" i="15" s="1"/>
  <c r="D70" i="15"/>
  <c r="C70" i="15"/>
  <c r="G69" i="15"/>
  <c r="H69" i="15" s="1"/>
  <c r="D69" i="15"/>
  <c r="C69" i="15"/>
  <c r="G68" i="15"/>
  <c r="H68" i="15" s="1"/>
  <c r="D68" i="15"/>
  <c r="C68" i="15"/>
  <c r="H248" i="15"/>
  <c r="H245" i="15"/>
  <c r="H228" i="15"/>
  <c r="H21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43" i="15"/>
  <c r="H44" i="15"/>
  <c r="H45" i="15"/>
  <c r="H46" i="15"/>
  <c r="H41" i="15"/>
  <c r="H42" i="15"/>
  <c r="B18" i="15"/>
  <c r="B16" i="15"/>
  <c r="B17" i="15" s="1"/>
  <c r="H17" i="15"/>
  <c r="H18" i="15"/>
  <c r="H19" i="15"/>
  <c r="H20" i="15"/>
  <c r="H21" i="15"/>
  <c r="H28" i="15"/>
  <c r="H29" i="15"/>
  <c r="H30" i="15"/>
  <c r="H31" i="15"/>
  <c r="H32" i="15"/>
  <c r="H33" i="15"/>
  <c r="H34" i="15"/>
  <c r="H35" i="15"/>
  <c r="H36" i="15"/>
  <c r="H16" i="15"/>
  <c r="I9" i="15"/>
  <c r="H15" i="15"/>
  <c r="J9" i="1"/>
  <c r="C14" i="14"/>
  <c r="I17" i="13"/>
  <c r="I18" i="13"/>
  <c r="I19" i="13"/>
  <c r="I20" i="13"/>
  <c r="I21" i="13"/>
  <c r="I22" i="13"/>
  <c r="I23" i="13"/>
  <c r="I16" i="13"/>
  <c r="I15" i="13"/>
  <c r="D20" i="13"/>
  <c r="B19" i="13"/>
  <c r="D19" i="13"/>
  <c r="H22" i="13"/>
  <c r="F18" i="13"/>
  <c r="F17" i="13"/>
  <c r="H17" i="13" s="1"/>
  <c r="G68" i="1"/>
  <c r="I25" i="13" l="1"/>
  <c r="J17" i="13"/>
  <c r="J19" i="13"/>
  <c r="J16" i="13"/>
  <c r="F21" i="13"/>
  <c r="H21" i="13" s="1"/>
  <c r="J21" i="13" s="1"/>
  <c r="J22" i="13"/>
  <c r="I233" i="15"/>
  <c r="I234" i="15"/>
  <c r="I235" i="15"/>
  <c r="I236" i="15"/>
  <c r="I232" i="15"/>
  <c r="I22" i="15"/>
  <c r="I23" i="15"/>
  <c r="I192" i="15"/>
  <c r="I193" i="15"/>
  <c r="I194" i="15"/>
  <c r="I195" i="15"/>
  <c r="I189" i="15"/>
  <c r="I188" i="15"/>
  <c r="I187" i="15"/>
  <c r="I191" i="15"/>
  <c r="I190" i="15"/>
  <c r="I184" i="15"/>
  <c r="I185" i="15"/>
  <c r="I186" i="15"/>
  <c r="I153" i="15"/>
  <c r="I163" i="15"/>
  <c r="I170" i="15"/>
  <c r="I174" i="15"/>
  <c r="I154" i="15"/>
  <c r="I183" i="15"/>
  <c r="I182" i="15"/>
  <c r="I160" i="15"/>
  <c r="I175" i="15"/>
  <c r="I155" i="15"/>
  <c r="I168" i="15"/>
  <c r="I176" i="15"/>
  <c r="I178" i="15"/>
  <c r="I156" i="15"/>
  <c r="I177" i="15"/>
  <c r="I172" i="15"/>
  <c r="I157" i="15"/>
  <c r="I165" i="15"/>
  <c r="I171" i="15"/>
  <c r="I158" i="15"/>
  <c r="I166" i="15"/>
  <c r="I169" i="15"/>
  <c r="I179" i="15"/>
  <c r="I151" i="15"/>
  <c r="I161" i="15"/>
  <c r="I180" i="15"/>
  <c r="I164" i="15"/>
  <c r="I152" i="15"/>
  <c r="I159" i="15"/>
  <c r="I162" i="15"/>
  <c r="I167" i="15"/>
  <c r="I173" i="15"/>
  <c r="I181" i="15"/>
  <c r="I150" i="15"/>
  <c r="I123" i="15"/>
  <c r="I109" i="15"/>
  <c r="I149" i="15"/>
  <c r="I110" i="15"/>
  <c r="I124" i="15"/>
  <c r="I129" i="15"/>
  <c r="I133" i="15"/>
  <c r="I137" i="15"/>
  <c r="I141" i="15"/>
  <c r="I145" i="15"/>
  <c r="I144" i="15"/>
  <c r="I111" i="15"/>
  <c r="I117" i="15"/>
  <c r="I125" i="15"/>
  <c r="I139" i="15"/>
  <c r="I112" i="15"/>
  <c r="I118" i="15"/>
  <c r="I126" i="15"/>
  <c r="I130" i="15"/>
  <c r="I146" i="15"/>
  <c r="I138" i="15"/>
  <c r="I113" i="15"/>
  <c r="I119" i="15"/>
  <c r="I142" i="15"/>
  <c r="I134" i="15"/>
  <c r="I114" i="15"/>
  <c r="I120" i="15"/>
  <c r="I127" i="15"/>
  <c r="I131" i="15"/>
  <c r="I135" i="15"/>
  <c r="I143" i="15"/>
  <c r="I147" i="15"/>
  <c r="I122" i="15"/>
  <c r="I107" i="15"/>
  <c r="I115" i="15"/>
  <c r="I121" i="15"/>
  <c r="I108" i="15"/>
  <c r="I116" i="15"/>
  <c r="I128" i="15"/>
  <c r="I132" i="15"/>
  <c r="I136" i="15"/>
  <c r="I140" i="15"/>
  <c r="I148" i="15"/>
  <c r="I105" i="15"/>
  <c r="I95" i="15"/>
  <c r="I100" i="15"/>
  <c r="I98" i="15"/>
  <c r="I101" i="15"/>
  <c r="I96" i="15"/>
  <c r="I94" i="15"/>
  <c r="I97" i="15"/>
  <c r="I99" i="15"/>
  <c r="I102" i="15"/>
  <c r="I106" i="15"/>
  <c r="I103" i="15"/>
  <c r="I104" i="15"/>
  <c r="I74" i="15"/>
  <c r="I247" i="15"/>
  <c r="I68" i="15"/>
  <c r="I76" i="15"/>
  <c r="I229" i="15"/>
  <c r="I75" i="15"/>
  <c r="I248" i="15"/>
  <c r="I69" i="15"/>
  <c r="I62" i="15"/>
  <c r="I70" i="15"/>
  <c r="I241" i="15"/>
  <c r="I63" i="15"/>
  <c r="I78" i="15"/>
  <c r="I86" i="15"/>
  <c r="I199" i="15"/>
  <c r="I207" i="15"/>
  <c r="I215" i="15"/>
  <c r="I223" i="15"/>
  <c r="I230" i="15"/>
  <c r="I242" i="15"/>
  <c r="I56" i="15"/>
  <c r="I87" i="15"/>
  <c r="I200" i="15"/>
  <c r="I208" i="15"/>
  <c r="I216" i="15"/>
  <c r="I224" i="15"/>
  <c r="I231" i="15"/>
  <c r="I251" i="15"/>
  <c r="I57" i="15"/>
  <c r="I88" i="15"/>
  <c r="I201" i="15"/>
  <c r="I209" i="15"/>
  <c r="I217" i="15"/>
  <c r="I225" i="15"/>
  <c r="I58" i="15"/>
  <c r="I66" i="15"/>
  <c r="I81" i="15"/>
  <c r="I89" i="15"/>
  <c r="I253" i="15"/>
  <c r="I82" i="15"/>
  <c r="I90" i="15"/>
  <c r="I64" i="15"/>
  <c r="I77" i="15"/>
  <c r="I83" i="15"/>
  <c r="I202" i="15"/>
  <c r="I210" i="15"/>
  <c r="I218" i="15"/>
  <c r="I249" i="15"/>
  <c r="I65" i="15"/>
  <c r="I71" i="15"/>
  <c r="I84" i="15"/>
  <c r="I203" i="15"/>
  <c r="I211" i="15"/>
  <c r="I219" i="15"/>
  <c r="I226" i="15"/>
  <c r="I243" i="15"/>
  <c r="I250" i="15"/>
  <c r="I59" i="15"/>
  <c r="I72" i="15"/>
  <c r="I85" i="15"/>
  <c r="I91" i="15"/>
  <c r="I204" i="15"/>
  <c r="I212" i="15"/>
  <c r="I220" i="15"/>
  <c r="I227" i="15"/>
  <c r="I244" i="15"/>
  <c r="I60" i="15"/>
  <c r="I73" i="15"/>
  <c r="I79" i="15"/>
  <c r="I92" i="15"/>
  <c r="I205" i="15"/>
  <c r="I213" i="15"/>
  <c r="I221" i="15"/>
  <c r="I228" i="15"/>
  <c r="I245" i="15"/>
  <c r="I61" i="15"/>
  <c r="I67" i="15"/>
  <c r="I80" i="15"/>
  <c r="I93" i="15"/>
  <c r="I206" i="15"/>
  <c r="I214" i="15"/>
  <c r="I222" i="15"/>
  <c r="I246" i="15"/>
  <c r="I252" i="15"/>
  <c r="I50" i="15"/>
  <c r="I46" i="15"/>
  <c r="I49" i="15"/>
  <c r="I48" i="15"/>
  <c r="I47" i="15"/>
  <c r="I45" i="15"/>
  <c r="I44" i="15"/>
  <c r="I43" i="15"/>
  <c r="I42" i="15"/>
  <c r="I31" i="15"/>
  <c r="I41" i="15"/>
  <c r="I35" i="15"/>
  <c r="I36" i="15"/>
  <c r="I30" i="15"/>
  <c r="I21" i="15"/>
  <c r="I15" i="15"/>
  <c r="I29" i="15"/>
  <c r="I20" i="15"/>
  <c r="I28" i="15"/>
  <c r="I19" i="15"/>
  <c r="I16" i="15"/>
  <c r="I34" i="15"/>
  <c r="I18" i="15"/>
  <c r="I33" i="15"/>
  <c r="I17" i="15"/>
  <c r="I32" i="15"/>
  <c r="K19" i="13"/>
  <c r="K20" i="13"/>
  <c r="F20" i="13"/>
  <c r="H20" i="13" s="1"/>
  <c r="J20" i="13" s="1"/>
  <c r="H18" i="13"/>
  <c r="J18" i="13" s="1"/>
  <c r="H15" i="13"/>
  <c r="J15" i="13" s="1"/>
  <c r="H23" i="13"/>
  <c r="J23" i="13" s="1"/>
  <c r="I51" i="15" l="1"/>
  <c r="I196" i="15"/>
  <c r="I237" i="15"/>
  <c r="I254" i="15"/>
  <c r="I37" i="15"/>
  <c r="I24" i="15"/>
  <c r="J25" i="13"/>
  <c r="J26" i="13" s="1"/>
  <c r="J28" i="13" s="1"/>
  <c r="F21" i="9" s="1"/>
  <c r="G21" i="9" s="1"/>
  <c r="M15" i="13"/>
  <c r="M16" i="13" s="1"/>
  <c r="H25" i="13"/>
  <c r="I256" i="15" l="1"/>
  <c r="I260" i="15" l="1"/>
  <c r="F22" i="9" s="1"/>
  <c r="G22" i="9" s="1"/>
  <c r="G23" i="9" s="1"/>
  <c r="C31" i="17" l="1"/>
  <c r="C28" i="17"/>
  <c r="C25" i="17"/>
  <c r="C22" i="17"/>
  <c r="F23" i="17" s="1"/>
  <c r="J23" i="17" s="1"/>
  <c r="C16" i="17"/>
  <c r="C19" i="17"/>
  <c r="D20" i="17" s="1"/>
  <c r="H29" i="17"/>
  <c r="G29" i="17"/>
  <c r="F29" i="17"/>
  <c r="D26" i="17"/>
  <c r="F26" i="17"/>
  <c r="E26" i="17"/>
  <c r="G17" i="17"/>
  <c r="D17" i="17"/>
  <c r="H17" i="17"/>
  <c r="G23" i="17"/>
  <c r="I32" i="17"/>
  <c r="H32" i="17"/>
  <c r="J32" i="17" s="1"/>
  <c r="E20" i="17" l="1"/>
  <c r="C34" i="17"/>
  <c r="J29" i="17"/>
  <c r="J26" i="17"/>
  <c r="H36" i="17"/>
  <c r="J20" i="17"/>
  <c r="D36" i="17"/>
  <c r="D37" i="17" s="1"/>
  <c r="G36" i="17"/>
  <c r="H43" i="2"/>
  <c r="H44" i="2" s="1"/>
  <c r="H38" i="2"/>
  <c r="H35" i="2"/>
  <c r="C35" i="2"/>
  <c r="C38" i="2" s="1"/>
  <c r="H34" i="2"/>
  <c r="H29" i="2"/>
  <c r="H26" i="2"/>
  <c r="C26" i="2"/>
  <c r="C29" i="2" s="1"/>
  <c r="H25" i="2"/>
  <c r="H20" i="2"/>
  <c r="H17" i="2"/>
  <c r="C17" i="2"/>
  <c r="C20" i="2" s="1"/>
  <c r="H16" i="2"/>
  <c r="G65" i="1"/>
  <c r="G62" i="1"/>
  <c r="G61" i="1"/>
  <c r="G58" i="1"/>
  <c r="G57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6" i="1"/>
  <c r="G35" i="1"/>
  <c r="G34" i="1"/>
  <c r="G33" i="1"/>
  <c r="G32" i="1"/>
  <c r="G31" i="1"/>
  <c r="G30" i="1"/>
  <c r="G29" i="1"/>
  <c r="G26" i="1"/>
  <c r="G25" i="1"/>
  <c r="G24" i="1"/>
  <c r="G23" i="1"/>
  <c r="G22" i="1"/>
  <c r="G21" i="1"/>
  <c r="G20" i="1"/>
  <c r="G19" i="1"/>
  <c r="G18" i="1"/>
  <c r="G17" i="1"/>
  <c r="D17" i="1"/>
  <c r="H27" i="2" l="1"/>
  <c r="H28" i="2" s="1"/>
  <c r="H30" i="2" s="1"/>
  <c r="H18" i="2"/>
  <c r="H19" i="2" s="1"/>
  <c r="H21" i="2" s="1"/>
  <c r="H34" i="1" s="1"/>
  <c r="H36" i="2"/>
  <c r="H37" i="2" s="1"/>
  <c r="H39" i="2" s="1"/>
  <c r="H45" i="2"/>
  <c r="H46" i="2" s="1"/>
  <c r="H51" i="1" l="1"/>
  <c r="I51" i="1" s="1"/>
  <c r="H47" i="1"/>
  <c r="I47" i="1" s="1"/>
  <c r="J47" i="1" s="1"/>
  <c r="H45" i="1"/>
  <c r="I45" i="1" s="1"/>
  <c r="J45" i="1" s="1"/>
  <c r="H41" i="1"/>
  <c r="I41" i="1" s="1"/>
  <c r="J41" i="1" s="1"/>
  <c r="H39" i="1"/>
  <c r="I39" i="1" s="1"/>
  <c r="H65" i="1"/>
  <c r="I65" i="1" s="1"/>
  <c r="H53" i="1"/>
  <c r="I53" i="1" s="1"/>
  <c r="J53" i="1" s="1"/>
  <c r="H49" i="1"/>
  <c r="I49" i="1" s="1"/>
  <c r="J49" i="1" s="1"/>
  <c r="H43" i="1"/>
  <c r="I43" i="1" s="1"/>
  <c r="J43" i="1" s="1"/>
  <c r="H33" i="1"/>
  <c r="I33" i="1" s="1"/>
  <c r="H21" i="1"/>
  <c r="I21" i="1" s="1"/>
  <c r="J21" i="1" s="1"/>
  <c r="H54" i="1"/>
  <c r="I54" i="1" s="1"/>
  <c r="H52" i="1"/>
  <c r="I52" i="1" s="1"/>
  <c r="J52" i="1" s="1"/>
  <c r="H50" i="1"/>
  <c r="I50" i="1" s="1"/>
  <c r="J50" i="1" s="1"/>
  <c r="H48" i="1"/>
  <c r="I48" i="1" s="1"/>
  <c r="J48" i="1" s="1"/>
  <c r="H46" i="1"/>
  <c r="I46" i="1" s="1"/>
  <c r="J46" i="1" s="1"/>
  <c r="H44" i="1"/>
  <c r="I44" i="1" s="1"/>
  <c r="J44" i="1" s="1"/>
  <c r="H42" i="1"/>
  <c r="I42" i="1" s="1"/>
  <c r="J42" i="1" s="1"/>
  <c r="H40" i="1"/>
  <c r="I40" i="1" s="1"/>
  <c r="J40" i="1" s="1"/>
  <c r="H57" i="1"/>
  <c r="I57" i="1" s="1"/>
  <c r="I34" i="1"/>
  <c r="J34" i="1" s="1"/>
  <c r="H62" i="1"/>
  <c r="I62" i="1" s="1"/>
  <c r="J62" i="1" s="1"/>
  <c r="H58" i="1"/>
  <c r="I58" i="1" s="1"/>
  <c r="J58" i="1" s="1"/>
  <c r="H61" i="1"/>
  <c r="I61" i="1" s="1"/>
  <c r="H68" i="1"/>
  <c r="I68" i="1" s="1"/>
  <c r="J68" i="1" s="1"/>
  <c r="H23" i="1"/>
  <c r="I23" i="1" s="1"/>
  <c r="J23" i="1" s="1"/>
  <c r="H19" i="1"/>
  <c r="I19" i="1" s="1"/>
  <c r="J19" i="1" s="1"/>
  <c r="H24" i="1"/>
  <c r="I24" i="1" s="1"/>
  <c r="J24" i="1" s="1"/>
  <c r="I18" i="1"/>
  <c r="J18" i="1" s="1"/>
  <c r="H26" i="1"/>
  <c r="I26" i="1" s="1"/>
  <c r="J26" i="1" s="1"/>
  <c r="H35" i="1"/>
  <c r="I35" i="1" s="1"/>
  <c r="J35" i="1" s="1"/>
  <c r="H31" i="1"/>
  <c r="I31" i="1" s="1"/>
  <c r="J31" i="1" s="1"/>
  <c r="H29" i="1"/>
  <c r="I29" i="1" s="1"/>
  <c r="H25" i="1"/>
  <c r="I25" i="1" s="1"/>
  <c r="J25" i="1" s="1"/>
  <c r="H17" i="1"/>
  <c r="I17" i="1" s="1"/>
  <c r="J17" i="1" s="1"/>
  <c r="H30" i="1"/>
  <c r="I30" i="1" s="1"/>
  <c r="J30" i="1" s="1"/>
  <c r="H22" i="1"/>
  <c r="I22" i="1" s="1"/>
  <c r="J22" i="1" s="1"/>
  <c r="H36" i="1"/>
  <c r="I36" i="1" s="1"/>
  <c r="J36" i="1" s="1"/>
  <c r="H32" i="1"/>
  <c r="I32" i="1" s="1"/>
  <c r="J32" i="1" s="1"/>
  <c r="H20" i="1"/>
  <c r="I20" i="1" s="1"/>
  <c r="J20" i="1" s="1"/>
  <c r="J61" i="1" l="1"/>
  <c r="J60" i="1" s="1"/>
  <c r="E32" i="16"/>
  <c r="D32" i="16"/>
  <c r="J65" i="1"/>
  <c r="J64" i="1" s="1"/>
  <c r="K39" i="1"/>
  <c r="J39" i="1"/>
  <c r="D26" i="16"/>
  <c r="J26" i="16"/>
  <c r="J57" i="1"/>
  <c r="J56" i="1" s="1"/>
  <c r="K41" i="1"/>
  <c r="J54" i="1"/>
  <c r="K19" i="1"/>
  <c r="L19" i="1" s="1"/>
  <c r="K18" i="1"/>
  <c r="L18" i="1" s="1"/>
  <c r="K17" i="1"/>
  <c r="L17" i="1" s="1"/>
  <c r="J29" i="1"/>
  <c r="J33" i="1"/>
  <c r="K40" i="1"/>
  <c r="J51" i="1"/>
  <c r="J38" i="1" s="1"/>
  <c r="J16" i="1"/>
  <c r="J67" i="1"/>
  <c r="J28" i="1" l="1"/>
  <c r="C19" i="16" s="1"/>
  <c r="C31" i="16"/>
  <c r="C22" i="16"/>
  <c r="J20" i="16"/>
  <c r="H20" i="16"/>
  <c r="D20" i="16"/>
  <c r="G20" i="16"/>
  <c r="O20" i="16"/>
  <c r="F20" i="16"/>
  <c r="L20" i="16"/>
  <c r="N20" i="16"/>
  <c r="E20" i="16"/>
  <c r="M20" i="16"/>
  <c r="K20" i="16"/>
  <c r="I20" i="16"/>
  <c r="G32" i="16"/>
  <c r="E31" i="16"/>
  <c r="D31" i="16"/>
  <c r="F32" i="16"/>
  <c r="M17" i="1"/>
  <c r="C25" i="16"/>
  <c r="D25" i="16" s="1"/>
  <c r="C16" i="16"/>
  <c r="M18" i="1"/>
  <c r="P26" i="16"/>
  <c r="L41" i="1"/>
  <c r="M19" i="1"/>
  <c r="C34" i="16"/>
  <c r="C28" i="16"/>
  <c r="L40" i="1"/>
  <c r="O23" i="16"/>
  <c r="O22" i="16" s="1"/>
  <c r="F23" i="16"/>
  <c r="F22" i="16" s="1"/>
  <c r="M23" i="16"/>
  <c r="K23" i="16"/>
  <c r="K22" i="16" s="1"/>
  <c r="N23" i="16"/>
  <c r="E23" i="16"/>
  <c r="E22" i="16" s="1"/>
  <c r="L23" i="16"/>
  <c r="L39" i="1"/>
  <c r="J23" i="16"/>
  <c r="J22" i="16" s="1"/>
  <c r="H23" i="16"/>
  <c r="D23" i="16"/>
  <c r="D22" i="16" s="1"/>
  <c r="G23" i="16"/>
  <c r="I23" i="16"/>
  <c r="D29" i="16"/>
  <c r="O19" i="16" l="1"/>
  <c r="J70" i="1"/>
  <c r="L19" i="16"/>
  <c r="I19" i="16"/>
  <c r="G19" i="16"/>
  <c r="K19" i="16"/>
  <c r="J25" i="16"/>
  <c r="M19" i="16"/>
  <c r="E19" i="16"/>
  <c r="N19" i="16"/>
  <c r="F19" i="16"/>
  <c r="I22" i="16"/>
  <c r="N22" i="16"/>
  <c r="O35" i="16"/>
  <c r="O34" i="16" s="1"/>
  <c r="H35" i="16"/>
  <c r="H34" i="16" s="1"/>
  <c r="G35" i="16"/>
  <c r="G34" i="16" s="1"/>
  <c r="N35" i="16"/>
  <c r="N34" i="16" s="1"/>
  <c r="M35" i="16"/>
  <c r="M34" i="16" s="1"/>
  <c r="E35" i="16"/>
  <c r="E34" i="16" s="1"/>
  <c r="D35" i="16"/>
  <c r="F35" i="16"/>
  <c r="F34" i="16" s="1"/>
  <c r="I35" i="16"/>
  <c r="I34" i="16" s="1"/>
  <c r="L35" i="16"/>
  <c r="L34" i="16" s="1"/>
  <c r="K35" i="16"/>
  <c r="K34" i="16" s="1"/>
  <c r="J35" i="16"/>
  <c r="J34" i="16" s="1"/>
  <c r="F17" i="16"/>
  <c r="G17" i="16"/>
  <c r="D17" i="16"/>
  <c r="K17" i="16"/>
  <c r="I17" i="16"/>
  <c r="M17" i="16"/>
  <c r="H17" i="16"/>
  <c r="L17" i="16"/>
  <c r="N17" i="16"/>
  <c r="E17" i="16"/>
  <c r="O17" i="16"/>
  <c r="J17" i="16"/>
  <c r="C37" i="16"/>
  <c r="P20" i="16"/>
  <c r="D19" i="16"/>
  <c r="G17" i="9"/>
  <c r="E29" i="16"/>
  <c r="D28" i="16"/>
  <c r="G22" i="16"/>
  <c r="F36" i="17"/>
  <c r="I36" i="17"/>
  <c r="L22" i="16"/>
  <c r="F31" i="16"/>
  <c r="H32" i="16"/>
  <c r="I32" i="16"/>
  <c r="G31" i="16"/>
  <c r="H19" i="16"/>
  <c r="H22" i="16"/>
  <c r="M22" i="16"/>
  <c r="P25" i="16"/>
  <c r="J19" i="16"/>
  <c r="J73" i="1"/>
  <c r="F16" i="9" s="1"/>
  <c r="G16" i="9" s="1"/>
  <c r="E39" i="16" l="1"/>
  <c r="P17" i="16"/>
  <c r="D39" i="16"/>
  <c r="D40" i="16" s="1"/>
  <c r="I31" i="16"/>
  <c r="K32" i="16"/>
  <c r="E28" i="16"/>
  <c r="F29" i="16"/>
  <c r="F39" i="16" s="1"/>
  <c r="J32" i="16"/>
  <c r="H31" i="16"/>
  <c r="D34" i="16"/>
  <c r="P34" i="16" s="1"/>
  <c r="P35" i="16"/>
  <c r="E36" i="17"/>
  <c r="E37" i="17" s="1"/>
  <c r="F37" i="17" s="1"/>
  <c r="G37" i="17" s="1"/>
  <c r="H37" i="17" s="1"/>
  <c r="I37" i="17" s="1"/>
  <c r="J17" i="17"/>
  <c r="P19" i="16"/>
  <c r="G26" i="9"/>
  <c r="G29" i="16" l="1"/>
  <c r="F28" i="16"/>
  <c r="L32" i="16"/>
  <c r="J31" i="16"/>
  <c r="M32" i="16"/>
  <c r="K31" i="16"/>
  <c r="E40" i="16"/>
  <c r="F40" i="16" s="1"/>
  <c r="P22" i="16"/>
  <c r="P23" i="16"/>
  <c r="O32" i="16" l="1"/>
  <c r="M31" i="16"/>
  <c r="N32" i="16"/>
  <c r="N31" i="16" s="1"/>
  <c r="L31" i="16"/>
  <c r="G28" i="16"/>
  <c r="H29" i="16"/>
  <c r="G39" i="16"/>
  <c r="G40" i="16" s="1"/>
  <c r="O31" i="16" l="1"/>
  <c r="P31" i="16" s="1"/>
  <c r="P32" i="16"/>
  <c r="H28" i="16"/>
  <c r="I29" i="16"/>
  <c r="H39" i="16"/>
  <c r="H40" i="16" s="1"/>
  <c r="I28" i="16" l="1"/>
  <c r="J29" i="16"/>
  <c r="I39" i="16"/>
  <c r="I40" i="16" s="1"/>
  <c r="J28" i="16" l="1"/>
  <c r="K29" i="16"/>
  <c r="J39" i="16"/>
  <c r="J40" i="16" s="1"/>
  <c r="L29" i="16" l="1"/>
  <c r="K28" i="16"/>
  <c r="K39" i="16"/>
  <c r="K40" i="16" s="1"/>
  <c r="L28" i="16" l="1"/>
  <c r="M29" i="16"/>
  <c r="L39" i="16"/>
  <c r="L40" i="16" s="1"/>
  <c r="M28" i="16" l="1"/>
  <c r="N29" i="16"/>
  <c r="M39" i="16"/>
  <c r="M40" i="16" s="1"/>
  <c r="N28" i="16" l="1"/>
  <c r="O29" i="16"/>
  <c r="N39" i="16"/>
  <c r="N40" i="16" s="1"/>
  <c r="O39" i="16" l="1"/>
  <c r="O40" i="16" s="1"/>
  <c r="O28" i="16"/>
  <c r="P28" i="16" s="1"/>
  <c r="P29" i="16"/>
</calcChain>
</file>

<file path=xl/sharedStrings.xml><?xml version="1.0" encoding="utf-8"?>
<sst xmlns="http://schemas.openxmlformats.org/spreadsheetml/2006/main" count="1221" uniqueCount="508">
  <si>
    <t>Objeto</t>
  </si>
  <si>
    <t>Local</t>
  </si>
  <si>
    <t>Brasília - DF</t>
  </si>
  <si>
    <t>Setor</t>
  </si>
  <si>
    <t>Data</t>
  </si>
  <si>
    <t>Item</t>
  </si>
  <si>
    <t>Descrição / Especificação</t>
  </si>
  <si>
    <t>UND.</t>
  </si>
  <si>
    <t>Valor Total</t>
  </si>
  <si>
    <t>1.1</t>
  </si>
  <si>
    <t>2.1</t>
  </si>
  <si>
    <t>2.2</t>
  </si>
  <si>
    <t>2.3</t>
  </si>
  <si>
    <t>2.4</t>
  </si>
  <si>
    <t>1.2</t>
  </si>
  <si>
    <t>1.3</t>
  </si>
  <si>
    <t>1.4</t>
  </si>
  <si>
    <t xml:space="preserve">
SERVIÇO PÚBLICO FEDERAL
MJSP - POLÍCIA FEDERAL
SERVIÇO DE LOGÍSTICA - SELOG/DITEC/PF</t>
  </si>
  <si>
    <t>Tabelas de Referência</t>
  </si>
  <si>
    <t>Código</t>
  </si>
  <si>
    <t>Banco</t>
  </si>
  <si>
    <t>Und.</t>
  </si>
  <si>
    <t>Coeficiente</t>
  </si>
  <si>
    <t>Preço Unitário</t>
  </si>
  <si>
    <t>EQUIPE DE MANUTENÇÃO  - HIDRÁULICA</t>
  </si>
  <si>
    <t>SINAPI</t>
  </si>
  <si>
    <t>ENCANADOR OU BOMBEIRO HIDRAULICO</t>
  </si>
  <si>
    <t>h</t>
  </si>
  <si>
    <t>AUXILIAR DE ENCANADOR OU BOMBEIRO HIDRAULICO</t>
  </si>
  <si>
    <t>A = Sub Total</t>
  </si>
  <si>
    <t>B = Leis Sociais (%)</t>
  </si>
  <si>
    <t xml:space="preserve">FERRAMENTAS - FAMILIA ENCANADOR - HORISTA (ENCARGOS COMPLEMENTARES </t>
  </si>
  <si>
    <t>Valor Total (A+B)</t>
  </si>
  <si>
    <t>EQUIPE DE MANUTENÇÃO  - ELÉTRICA</t>
  </si>
  <si>
    <t>ELETRICISTA</t>
  </si>
  <si>
    <t>AJUDANTE DE ELETRICISTA</t>
  </si>
  <si>
    <t xml:space="preserve">FERRAMENTAS - FAMILIA ELETRICISTA - HORISTA (ENCARGOS COMPLEMENTARES </t>
  </si>
  <si>
    <t>EQUIPE DE MANUTENÇÃO  - SERVIÇOS GERAIS</t>
  </si>
  <si>
    <t>3.1</t>
  </si>
  <si>
    <t>ENCARREGADO GERAL DE OBRA</t>
  </si>
  <si>
    <t>3.2</t>
  </si>
  <si>
    <t xml:space="preserve">AUXILIAR </t>
  </si>
  <si>
    <t>3.3</t>
  </si>
  <si>
    <t xml:space="preserve">FERRAMENTAS - FAMILIA ENCARREGADO GERAL DE OBRA - HORISTA (ENCARGOS COMPLEMENTARES </t>
  </si>
  <si>
    <t>4.1</t>
  </si>
  <si>
    <t>BDI (%)</t>
  </si>
  <si>
    <t>PERIODICIDADE</t>
  </si>
  <si>
    <t>QUANTIDADES</t>
  </si>
  <si>
    <t>VALORES</t>
  </si>
  <si>
    <t>Periodicidade</t>
  </si>
  <si>
    <t>Situação</t>
  </si>
  <si>
    <t>Nota</t>
  </si>
  <si>
    <t>Mensal</t>
  </si>
  <si>
    <t>Semestral</t>
  </si>
  <si>
    <t>Anual</t>
  </si>
  <si>
    <t>SISTEMA DE HIDRANTES</t>
  </si>
  <si>
    <t>Ligar manualmente cada bomba centrífuga durante um minuto para verificação de seu funcionamento observando a existência de ruídos anormais, vibrações e vazamentos. Inclusive limpeza das Casas de Bomba.</t>
  </si>
  <si>
    <t xml:space="preserve">Realizar inspeção de toda a tubulação aparente na casa de máquinas e corrigir os vazamentos encontrados;	</t>
  </si>
  <si>
    <t xml:space="preserve">Verificar o funcionamento dos registros de drenos, as suas vedações e eventuais perdas de pressão do sistema. Caso estiver ocorrendo perda de pressão do sistema que provoque a entrada constante da bomba de pressurização identificar o vazamento e corrigir de imediato;	</t>
  </si>
  <si>
    <t xml:space="preserve">Verificar o funcionamento automático das bombas dos sistemas por meio da observação dos manômetros, abrindo o registro de dreno para verificar a entrada da bomba de pressurização (jockey ou principal), sequencialmente, a bomba principal e finalmente a bomba reserva.	</t>
  </si>
  <si>
    <t>1.5</t>
  </si>
  <si>
    <t xml:space="preserve">Verificar a existência de folgas anormais nos terminais dos cabos que alimentam os quadros elétricos e a ocorrência de superaquecimento desses cabos;	</t>
  </si>
  <si>
    <t>1.6</t>
  </si>
  <si>
    <t xml:space="preserve">Verificar todos os hidrantes quanto a vazamentos, existência e estado de cada um dos componentes;	</t>
  </si>
  <si>
    <t>1.7</t>
  </si>
  <si>
    <t xml:space="preserve">Verificar o funcionamento geral dos sistemas, inclusive efetuando a manobra de todas as válvulas e registros de gaveta, bem como das campainhas de área, válvulas de governo e alarme, válvulas de fluxo, pressostatos e sensores;	</t>
  </si>
  <si>
    <t>1.8</t>
  </si>
  <si>
    <t xml:space="preserve">Drenar o ar da coluna de água.	</t>
  </si>
  <si>
    <t>1.9</t>
  </si>
  <si>
    <t xml:space="preserve">Testar os hidrantes, verificando suas vazões, pressões e verificar as mangueiras quanto à presença de vazamentos;	</t>
  </si>
  <si>
    <t>1.10</t>
  </si>
  <si>
    <t xml:space="preserve">Colocar um manômetro com engate storz e registro de dreno, efetuando a manobra do registro do hidrante, abrindo totalmente e o fechando novamente. Observar o correto funcionamento do registro e a correta vedação após o fechamento.	</t>
  </si>
  <si>
    <t>SISTEMA DE SPRINKLERS</t>
  </si>
  <si>
    <t xml:space="preserve">Ligar manualmente cada bomba centrífuga durante um minuto para verificação de seu funcionamento observando a existência de ruídos anormais, vibrações e vazamentos;	</t>
  </si>
  <si>
    <t xml:space="preserve">Realizar inspeção de toda a tubulação aparente na casa de máquinas e corrigir os vazamentos encontrados; 	</t>
  </si>
  <si>
    <t>2.5</t>
  </si>
  <si>
    <t>2.6</t>
  </si>
  <si>
    <t xml:space="preserve">Verificar o estado dos chuveiros (sprinklers), para mantê-los limpos, com pintura adequada para mantê-los isentos de corrosão;	</t>
  </si>
  <si>
    <t>2.7</t>
  </si>
  <si>
    <t>2.8</t>
  </si>
  <si>
    <t>SISTEMA DE DETECÇÃO E ALARME DE INCÊNDIO.</t>
  </si>
  <si>
    <t xml:space="preserve">Verificar o estado geral das chaves e comandos da central, quanto ao aspecto e condições de operação, lâmpadas ou fusíveis queimados.	</t>
  </si>
  <si>
    <t xml:space="preserve">Inspecionar visualmente o estado geral da bateria.	</t>
  </si>
  <si>
    <t xml:space="preserve">Simular defeitos e fogo através dos dispositivos disponíveis na central, com a finalidade de verificar a atuação dos indicadores sonoros e visuais.	</t>
  </si>
  <si>
    <t>3.4</t>
  </si>
  <si>
    <t xml:space="preserve">Verificar o funcionamento da campainha interna do painel de supervisão e comando;	</t>
  </si>
  <si>
    <t>3.5</t>
  </si>
  <si>
    <t xml:space="preserve">Limpar os detectores quando os valores apresentados indicarem a necessidade;	</t>
  </si>
  <si>
    <t>3.6</t>
  </si>
  <si>
    <t xml:space="preserve">Verificar a tensão de alimentação;	</t>
  </si>
  <si>
    <t>3.7</t>
  </si>
  <si>
    <t xml:space="preserve">Verificar a existência de componentes AC na alimentação, tolerável de até 0,5% da tensão AC;	</t>
  </si>
  <si>
    <t>3.8</t>
  </si>
  <si>
    <t xml:space="preserve">Verificar o nível do eletrólito das baterias, complementando se necessário;	</t>
  </si>
  <si>
    <t>3.9</t>
  </si>
  <si>
    <t xml:space="preserve">Verificar a existência de fugas de corrente por derivação à terra e, em caso positivo, eliminar essas fugas;	</t>
  </si>
  <si>
    <t>3.10</t>
  </si>
  <si>
    <t xml:space="preserve">Verificar o consumo total de cada laço após o ajustamento, e comparar com o consumo teórico; caso ocorra consumo excessivo, revisar os detectores;	</t>
  </si>
  <si>
    <t>3.11</t>
  </si>
  <si>
    <t xml:space="preserve">Operar o painel de transferência para alimentação de emergência;	</t>
  </si>
  <si>
    <t>3.12</t>
  </si>
  <si>
    <t xml:space="preserve">Verificar o funcionamento do carregador da bateria, bem como a transferência da alimentação AC para a bateria;	</t>
  </si>
  <si>
    <t>3.13</t>
  </si>
  <si>
    <t xml:space="preserve">Testar as campainhas de área por meio dos acionadores manuais e detectores.	</t>
  </si>
  <si>
    <t>3.14</t>
  </si>
  <si>
    <t xml:space="preserve">Remover os vidros dos acionadores manuais e verificar o seu funcionamento;	</t>
  </si>
  <si>
    <t>3.15</t>
  </si>
  <si>
    <t xml:space="preserve">Verificar as condições de funcionamento de todos os elementos do sistema, por meio da central de supervisão, comparando os valores analógicos indicados pelos detectores de fumaça, acionadores manuais e chaves de fluxo com os valores de referência a fim de se identificar possíveis defeitos.	</t>
  </si>
  <si>
    <t>3.16</t>
  </si>
  <si>
    <t xml:space="preserve">Realizar teste completo do sistema de detecção e alarme, com teste individual de todos os detectores de fumaça, detectores térmicos, sirenes e acionadores manuais.	</t>
  </si>
  <si>
    <t>PORTA CORTA-FOGO.</t>
  </si>
  <si>
    <t xml:space="preserve">Efetuar inspeção geral de todos os componentes do sistema, verificando seu funcionamento e estado de conservação, devendo ser efetuada a lubrificação de todas as partes móveis e do trilho, com graxa.  Inclusive realizar teste de fechamento das portas em situações de incêndio.	</t>
  </si>
  <si>
    <t>4.2</t>
  </si>
  <si>
    <t xml:space="preserve">Inspeção total, para verificar a existência de corrosão, empenamento e deterioração do núcleo.	</t>
  </si>
  <si>
    <t>SISTEMA DE SINALIZAÇÃO DE EMERGÊNCIA.</t>
  </si>
  <si>
    <t>5.1</t>
  </si>
  <si>
    <t>5.2</t>
  </si>
  <si>
    <t>SISTEMA DE ILUMINAÇÃO DE EMERGÊNCIA.</t>
  </si>
  <si>
    <t>6.1</t>
  </si>
  <si>
    <t>7.1</t>
  </si>
  <si>
    <t>FÓRMULA</t>
  </si>
  <si>
    <t>DESCRIÇÃO</t>
  </si>
  <si>
    <t>SIGLA</t>
  </si>
  <si>
    <t>-</t>
  </si>
  <si>
    <r>
      <t xml:space="preserve">
</t>
    </r>
    <r>
      <rPr>
        <b/>
        <sz val="11"/>
        <color rgb="FF000000"/>
        <rFont val="Calibri"/>
        <family val="2"/>
      </rPr>
      <t>SERVIÇO PÚBLICO FEDERAL
MJSP - POLÍCIA FEDERAL
SERVIÇO DE LOGÍSTICA - SELOG/DITEC/PF</t>
    </r>
  </si>
  <si>
    <r>
      <t xml:space="preserve">
</t>
    </r>
    <r>
      <rPr>
        <b/>
        <sz val="10"/>
        <rFont val="Arial"/>
        <family val="2"/>
      </rPr>
      <t>SERVIÇO PÚBLICO FEDERAL
MJSP - POLÍCIA FEDERAL
SERVIÇO DE LOGÍSTICA - SELOG/DITEC/PF</t>
    </r>
  </si>
  <si>
    <t>Brasília - DF.</t>
  </si>
  <si>
    <t>SERVIÇO ESPECIALIZADO</t>
  </si>
  <si>
    <t>ENGENHEIRO ELETRICISTA.</t>
  </si>
  <si>
    <t>ENGENHEIRO CIVIL.</t>
  </si>
  <si>
    <t xml:space="preserve">Tabelas de Referência: </t>
  </si>
  <si>
    <r>
      <rPr>
        <b/>
        <sz val="12"/>
        <rFont val="Calibri"/>
        <family val="2"/>
      </rPr>
      <t>SINAPI/DF.</t>
    </r>
    <r>
      <rPr>
        <sz val="12"/>
        <rFont val="Calibri"/>
        <family val="2"/>
        <charset val="1"/>
      </rPr>
      <t xml:space="preserve">
Referência Técnica: JAN/2022</t>
    </r>
  </si>
  <si>
    <r>
      <t xml:space="preserve">Valor TOTAL do Serviço C/ BDI (R$)
</t>
    </r>
    <r>
      <rPr>
        <sz val="11"/>
        <rFont val="Calibri"/>
        <family val="2"/>
      </rPr>
      <t>E = [C x D] X BDI</t>
    </r>
  </si>
  <si>
    <t>CBO</t>
  </si>
  <si>
    <t>Quantidade de horas Estimadas ANUAL
[A]</t>
  </si>
  <si>
    <t>Preço Unitário
[B]</t>
  </si>
  <si>
    <t>Valor Total ANUAL
C = [A x B]</t>
  </si>
  <si>
    <t>7241-10</t>
  </si>
  <si>
    <t>9511-05</t>
  </si>
  <si>
    <t>7166-10</t>
  </si>
  <si>
    <t>PINTOR</t>
  </si>
  <si>
    <t>7243-15</t>
  </si>
  <si>
    <t>SOLDADOR</t>
  </si>
  <si>
    <t>2142-05</t>
  </si>
  <si>
    <t>2143-05</t>
  </si>
  <si>
    <t>ENGENHEIRO CIVIL PLENO</t>
  </si>
  <si>
    <t>7156-15</t>
  </si>
  <si>
    <t>AJUDANTE DE PINTOR</t>
  </si>
  <si>
    <t>BDI
Formação de Preço</t>
  </si>
  <si>
    <t>Complexo da Polícia Federal - Setor Policial Sul</t>
  </si>
  <si>
    <r>
      <t>Referência Técnica:</t>
    </r>
    <r>
      <rPr>
        <b/>
        <sz val="12"/>
        <rFont val="Calibri"/>
        <family val="2"/>
      </rPr>
      <t xml:space="preserve"> JANEIRO DE 2022.</t>
    </r>
  </si>
  <si>
    <t>ADMINISTRAÇÃO CENTRAL</t>
  </si>
  <si>
    <t>RISCO</t>
  </si>
  <si>
    <t>DESPESAS FINANCEIRAS</t>
  </si>
  <si>
    <t>LUCRO</t>
  </si>
  <si>
    <t>AC</t>
  </si>
  <si>
    <t>DF</t>
  </si>
  <si>
    <t>SEGUROS E GARANTIAS</t>
  </si>
  <si>
    <t>S+G</t>
  </si>
  <si>
    <t>R</t>
  </si>
  <si>
    <t>L</t>
  </si>
  <si>
    <t>I</t>
  </si>
  <si>
    <t>TRIBUTOS (IMPOSTOS)
CONFINS= 3%; PIS= 0,65%; ISS = 5%
TOTAL DE IMPOSTOS = 8,65%</t>
  </si>
  <si>
    <t>Referência Técnica: JANEIRO DE 2022</t>
  </si>
  <si>
    <t>TOTAL</t>
  </si>
  <si>
    <t>FONTE</t>
  </si>
  <si>
    <t>ITEM</t>
  </si>
  <si>
    <t>CÓDIGO</t>
  </si>
  <si>
    <t>BOMBA CENTRÍFUGA, TRIFÁSICA, 1 CV OU 0,99 HP, HM 14 A 40 M, Q 0,6 A 8,4 M3/H - FORNECIMENTO E INSTALAÇÃO. AF_12/2020</t>
  </si>
  <si>
    <t>BOMBA CENTRÍFUGA, TRIFÁSICA, 1,5 CV OU 1,48 HP, HM 10 A 70 M, Q 1,8 A 5,3 M3/H - FORNECIMENTO E INSTALAÇÃO. AF_12/2020</t>
  </si>
  <si>
    <t>BOMBA CENTRÍFUGA, TRIFÁSICA, 1,5 CV OU 1,48 HP, HM 10 A 24 M, Q 6,1 A 21,9 M3/H - FORNECIMENTO E INSTALAÇÃO. AF_12/2020</t>
  </si>
  <si>
    <t>BOMBA CENTRÍFUGA, TRIFÁSICA, 3 CV OU 2,96 HP, HM 34 A 40 M, Q 8,6 A 14,8 M3/H - FORNECIMENTO E INSTALAÇÃO. AF_12/2020</t>
  </si>
  <si>
    <t>BOMBA CENTRÍFUGA, TRIFÁSICA, 10 CV OU 9,86 HP, HM 85 A 140 M, Q 4,2 A 14,9 M3/H - FORNECIMENTO E INSTALAÇÃO. AF_12/2020</t>
  </si>
  <si>
    <t>SISTEMA DE BOMBEAMENTO</t>
  </si>
  <si>
    <t>2.9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</si>
  <si>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</si>
  <si>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</si>
  <si>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</si>
  <si>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</si>
  <si>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</si>
  <si>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</si>
  <si>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</si>
  <si>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</si>
  <si>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</si>
  <si>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</si>
  <si>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</si>
  <si>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</si>
  <si>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</si>
  <si>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</si>
  <si>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</si>
  <si>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</si>
  <si>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</si>
  <si>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</si>
  <si>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</si>
  <si>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</si>
  <si>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</si>
  <si>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</si>
  <si>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</si>
  <si>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</si>
  <si>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</si>
  <si>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</si>
  <si>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</si>
  <si>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</si>
  <si>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</si>
  <si>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</si>
  <si>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</si>
  <si>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</si>
  <si>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</si>
  <si>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</si>
  <si>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</si>
  <si>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</si>
  <si>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</si>
  <si>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</si>
  <si>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</si>
  <si>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</si>
  <si>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</si>
  <si>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</si>
  <si>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</si>
  <si>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</si>
  <si>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</si>
  <si>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</si>
  <si>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</si>
  <si>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</si>
  <si>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</si>
  <si>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</si>
  <si>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</si>
  <si>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</si>
  <si>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</si>
  <si>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</si>
  <si>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</si>
  <si>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</si>
  <si>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</si>
  <si>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</si>
  <si>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</si>
  <si>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</si>
  <si>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</si>
  <si>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</si>
  <si>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</si>
  <si>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</si>
  <si>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</si>
  <si>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</si>
  <si>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</si>
  <si>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</si>
  <si>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</si>
  <si>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</si>
  <si>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</si>
  <si>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</si>
  <si>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MATERIAIS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</si>
  <si>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</si>
  <si>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</si>
  <si>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</si>
  <si>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</si>
  <si>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</si>
  <si>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</si>
  <si>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</si>
  <si>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</si>
  <si>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</si>
  <si>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</si>
  <si>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</si>
  <si>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</si>
  <si>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CONJUNTO HIDRÁULICO PARA INSTALAÇÃO DE BOMBA EM AÇO ROSCÁVEL, DN SUCÇÃO 32 (1 1/4) E DN RECALQUE 25 (1), PARA EDIFICAÇÃO ATÉ 4 PAVIMENTOS  FORNECIMENTO E INSTALAÇÃO. AF_06/2016</t>
  </si>
  <si>
    <t>CONJUNTO HIDRÁULICO PARA INSTALAÇÃO DE BOMBA EM AÇO ROSCÁVEL, DN SUCÇÃO 40 (1 1/2) E DN RECALQUE 32 (1 1/4), PARA EDIFICAÇÃO ENTRE 4 E 8 PAVIMENTOS  FORNECIMENTO E INSTALAÇÃO. AF_06/2016</t>
  </si>
  <si>
    <t>COMPONENTES DO SISTEMA DE ALARME, SINALIZAÇÃO E ILUMINAÇÃO.</t>
  </si>
  <si>
    <t>LUMINÁRIA DE EMERGÊNCIA, COM 30 LÂMPADAS LED DE 2 W, SEM REATOR - FORNECIMENTO E INSTALAÇÃO. AF_02/2020</t>
  </si>
  <si>
    <t xml:space="preserve">PLACA DE SINALIZACAO DE SEGURANCA CONTRA INCENDIO, FOTOLUMINESCENTE, QUADRADA, *14 X 14*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</si>
  <si>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SINALIZACAO DE SEGURANCA CONTRA INCENDIO, FOTOLUMINESCENTE, QUADRADA, *20 X 20*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</si>
  <si>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SINALIZACAO DE SEGURANCA CONTRA INCENDIO, FOTOLUMINESCENTE, RETANGULAR, *12 X 40*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</si>
  <si>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SINALIZACAO DE SEGURANCA CONTRA INCENDIO, FOTOLUMINESCENTE, RETANGULAR, *13 X 26*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</si>
  <si>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SINALIZACAO DE SEGURANCA CONTRA INCENDIO, FOTOLUMINESCENTE, RETANGULAR, *20 X 40*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</si>
  <si>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CUSTO TOTAL
C = [A x B]</t>
  </si>
  <si>
    <t>QUANTIDADE
[A]</t>
  </si>
  <si>
    <t>PREÇO UNITÁRIO
[B]</t>
  </si>
  <si>
    <t>CUSTO TOTAL COM BDI.
D = [C x BDI]</t>
  </si>
  <si>
    <t xml:space="preserve">PLACA DE SINALIZACAO DE SEGURANCA CONTRA INCENDIO - ALERTA, TRIANGULAR, BASE DE *30*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</si>
  <si>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TINTA A BASE DE RESINA ACRILICA EMULSIONADA EM AGUA, PARA SINALIZACAO HORIZONTAL VIARIA (NBR 13699:2012)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</si>
  <si>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TINTA A OLEO BRILHANTE, PARA MADEIRAS E METAIS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</si>
  <si>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ABRIGO PARA HIDRANTE, 90X60X17CM, COM REGISTRO GLOBO ANGULAR 45 GRAUS 2 1/2", ADAPTADOR STORZ 2 1/2", MANGUEIRA DE INCÊNDIO 20M, REDUÇÃO 2 1/2" X 1 1/2" E ESGUICHO EM LATÃO 1 1/2" - FORNECIMENTO E INSTALAÇÃO. AF_10/2020</t>
  </si>
  <si>
    <t>ABRIGO PARA HIDRANTE, 75X45X17CM, COM REGISTRO GLOBO ANGULAR 45 GRAUS 2 1/2", ADAPTADOR STORZ 2 1/2", MANGUEIRA DE INCÊNDIO 15M 2 1/2" E ESGUICHO EM LATÃO 2 1/2" - FORNECIMENTO E INSTALAÇÃO. AF_10/2020</t>
  </si>
  <si>
    <t>CAIXA DE INCÊNDIO 45X75X17CM - FORNECIMENTO E INSTALAÇÃO. AF_10/2020</t>
  </si>
  <si>
    <t>CAIXA DE INCÊNDIO 60X90X17CM - FORNECIMENTO E INSTALAÇÃO. AF_10/2020</t>
  </si>
  <si>
    <t>CONJUNTO DE MANGUEIRA PARA COMBATE A INCÊNDIO EM FIBRA DE POLIESTER PURA, COM 1.1/2", REVESTIDA INTERNAMENTE, COMPRIMENTO DE 15M - FORNECIMENTO E INSTALAÇÃO. AF_10/2020</t>
  </si>
  <si>
    <t>HIDRANTE SUBTERRÂNEO PREDIAL (COM CURVA LONGA E CAIXA), DN 75 MM - FORNECIMENTO E INSTALAÇÃO. AF_10/2020</t>
  </si>
  <si>
    <t>COMPONENTES DO SISTEMA HIDRÁULICO.</t>
  </si>
  <si>
    <t>COMPONENTES DO SISTEMA ELÉTRICO.</t>
  </si>
  <si>
    <t>MANÔMETRO 0 A 200 PSI (0 A 14 KGF/CM2), D = 50MM - FORNECIMENTO E INSTALAÇÃO. AF_10/2020</t>
  </si>
  <si>
    <t xml:space="preserve">ADAPTADOR, EM LATAO, ENGATE RAPIDO 2 1/2" X ROSCA INTERNA 5 FIOS 2 1/2",  PARA INSTALACAO PREDIAL DE COMBATE A INCENDIO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</si>
  <si>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ADAPTADOR, EM LATAO, ENGATE RAPIDO1 1/2" X ROSCA INTERNA 5 FIOS 2 1/2",  PARA INSTALACAO PREDIAL DE COMBATE A INCENDIO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</si>
  <si>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Descrição / Especificação.</t>
  </si>
  <si>
    <t>REGISTRO DE GAVETA BRUTO, LATÃO, ROSCÁVEL, 1/2" - FORNECIMENTO E INSTALAÇÃO. AF_08/2021</t>
  </si>
  <si>
    <t>REGISTRO DE GAVETA BRUTO, LATÃO, ROSCÁVEL, 3/4" - FORNECIMENTO E INSTALAÇÃO. AF_08/2021</t>
  </si>
  <si>
    <t>REGISTRO DE GAVETA BRUTO, LATÃO, ROSCÁVEL, 1" - FORNECIMENTO E INSTALAÇÃO. AF_08/2021</t>
  </si>
  <si>
    <t>REGISTRO DE GAVETA BRUTO, LATÃO, ROSCÁVEL, 1 1/4" - FORNECIMENTO E INSTALAÇÃO. AF_08/2021</t>
  </si>
  <si>
    <t>REGISTRO DE GAVETA BRUTO, LATÃO, ROSCÁVEL, 1 1/2" - FORNECIMENTO E INSTALAÇÃO. AF_08/2021</t>
  </si>
  <si>
    <t>REGISTRO DE GAVETA BRUTO, LATÃO, ROSCÁVEL, 2" - FORNECIMENTO E INSTALAÇÃO. AF_08/2021</t>
  </si>
  <si>
    <t>REGISTRO DE GAVETA BRUTO, LATÃO, ROSCÁVEL, 2 1/2" - FORNECIMENTO E INSTALAÇÃO. AF_08/2021</t>
  </si>
  <si>
    <t>REGISTRO DE GAVETA BRUTO, LATÃO, ROSCÁVEL, 3" - FORNECIMENTO E INSTALAÇÃO. AF_08/2021</t>
  </si>
  <si>
    <t>REGISTRO DE GAVETA BRUTO, LATÃO, ROSCÁVEL, 4" - FORNECIMENTO E INSTALAÇÃO. AF_08/2021</t>
  </si>
  <si>
    <t>M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</si>
  <si>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</si>
  <si>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</si>
  <si>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</si>
  <si>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</si>
  <si>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</si>
  <si>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</si>
  <si>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</si>
  <si>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</si>
  <si>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</si>
  <si>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</si>
  <si>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</si>
  <si>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</si>
  <si>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</si>
  <si>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</si>
  <si>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</si>
  <si>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</si>
  <si>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</si>
  <si>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</si>
  <si>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</si>
  <si>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</si>
  <si>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</si>
  <si>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</si>
  <si>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</si>
  <si>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</si>
  <si>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</si>
  <si>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</si>
  <si>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4.65</t>
  </si>
  <si>
    <t>4.66</t>
  </si>
  <si>
    <t>4.67</t>
  </si>
  <si>
    <t>4.68</t>
  </si>
  <si>
    <t>4.69</t>
  </si>
  <si>
    <t>4.70</t>
  </si>
  <si>
    <t>4.71</t>
  </si>
  <si>
    <t>4.72</t>
  </si>
  <si>
    <t>4.73</t>
  </si>
  <si>
    <t>4.74</t>
  </si>
  <si>
    <t>4.75</t>
  </si>
  <si>
    <t>4.76</t>
  </si>
  <si>
    <t>4.77</t>
  </si>
  <si>
    <t>4.78</t>
  </si>
  <si>
    <t>4.79</t>
  </si>
  <si>
    <t>4.80</t>
  </si>
  <si>
    <t>4.81</t>
  </si>
  <si>
    <t>4.82</t>
  </si>
  <si>
    <t>4.83</t>
  </si>
  <si>
    <t>4.84</t>
  </si>
  <si>
    <t>4.85</t>
  </si>
  <si>
    <t>4.86</t>
  </si>
  <si>
    <t>4.87</t>
  </si>
  <si>
    <t>4.88</t>
  </si>
  <si>
    <t>4.89</t>
  </si>
  <si>
    <t>4.90</t>
  </si>
  <si>
    <t>4.91</t>
  </si>
  <si>
    <t>4.92</t>
  </si>
  <si>
    <t>4.93</t>
  </si>
  <si>
    <t>4.94</t>
  </si>
  <si>
    <t>4.95</t>
  </si>
  <si>
    <t>4.96</t>
  </si>
  <si>
    <t>4.97</t>
  </si>
  <si>
    <t>4.98</t>
  </si>
  <si>
    <t>4.99</t>
  </si>
  <si>
    <t>4.100</t>
  </si>
  <si>
    <t>4.101</t>
  </si>
  <si>
    <t>4.102</t>
  </si>
  <si>
    <t>4.103</t>
  </si>
  <si>
    <t>4.104</t>
  </si>
  <si>
    <t>4.105</t>
  </si>
  <si>
    <t>4.106</t>
  </si>
  <si>
    <t>4.107</t>
  </si>
  <si>
    <t>4.108</t>
  </si>
  <si>
    <t>4.109</t>
  </si>
  <si>
    <t>4.110</t>
  </si>
  <si>
    <t>4.111</t>
  </si>
  <si>
    <t>4.112</t>
  </si>
  <si>
    <t>4.113</t>
  </si>
  <si>
    <t>4.114</t>
  </si>
  <si>
    <t>4.115</t>
  </si>
  <si>
    <t>4.116</t>
  </si>
  <si>
    <t>4.117</t>
  </si>
  <si>
    <t>4.118</t>
  </si>
  <si>
    <t>4.119</t>
  </si>
  <si>
    <t>4.120</t>
  </si>
  <si>
    <t>4.121</t>
  </si>
  <si>
    <t>4.122</t>
  </si>
  <si>
    <t>4.123</t>
  </si>
  <si>
    <t>4.124</t>
  </si>
  <si>
    <t>4.125</t>
  </si>
  <si>
    <t>4.126</t>
  </si>
  <si>
    <t>4.127</t>
  </si>
  <si>
    <t>4.128</t>
  </si>
  <si>
    <t>4.129</t>
  </si>
  <si>
    <t>4.130</t>
  </si>
  <si>
    <t>4.131</t>
  </si>
  <si>
    <t>4.132</t>
  </si>
  <si>
    <t>4.133</t>
  </si>
  <si>
    <t>4.134</t>
  </si>
  <si>
    <t>4.135</t>
  </si>
  <si>
    <t>4.136</t>
  </si>
  <si>
    <t>4.137</t>
  </si>
  <si>
    <t>4.138</t>
  </si>
  <si>
    <t>4.139</t>
  </si>
  <si>
    <t>4.140</t>
  </si>
  <si>
    <t>TOTAL (item 4)</t>
  </si>
  <si>
    <t>HIDRANTES E SPRINKLER</t>
  </si>
  <si>
    <t>TOTAL (item 1)</t>
  </si>
  <si>
    <t>TOTAL (item 2)</t>
  </si>
  <si>
    <t>TOTAL (item 3)</t>
  </si>
  <si>
    <t>TOTAL (item 5)</t>
  </si>
  <si>
    <t>TOTAL (item 6)</t>
  </si>
  <si>
    <r>
      <t>Verificar se as lâmpadas, os componentes da fonte de energia estão em correto funcionamento, inclusive as tensões das bateriais.</t>
    </r>
    <r>
      <rPr>
        <i/>
        <u/>
        <sz val="11"/>
        <rFont val="Calibri"/>
        <family val="2"/>
        <charset val="1"/>
      </rPr>
      <t xml:space="preserve"> </t>
    </r>
    <r>
      <rPr>
        <b/>
        <i/>
        <u/>
        <sz val="11"/>
        <rFont val="Calibri"/>
        <family val="2"/>
      </rPr>
      <t>(Verificação de todo o Sistema de Sinaização de Emergência de Todos os Empreendimentos Complexo da Polícia Federal do Setor Policial Sul)</t>
    </r>
    <r>
      <rPr>
        <sz val="11"/>
        <rFont val="Calibri"/>
        <family val="2"/>
        <charset val="1"/>
      </rPr>
      <t>.</t>
    </r>
  </si>
  <si>
    <t>Valor Total c/ BDI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</si>
  <si>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</si>
  <si>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</si>
  <si>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</si>
  <si>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</si>
  <si>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</si>
  <si>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</si>
  <si>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</si>
  <si>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</si>
  <si>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</si>
  <si>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ITEM 1 - ORÇAMENTO ESTIMADO DOS SERVIÇOS DE MANUTENÇÃO PREVENTIVA (ROTINA PRÉ-DEFINIDA).</t>
  </si>
  <si>
    <t>PLANILHA: COMPOSIÇÃO DAS EQUIPES DE MANUTENÇÃO PREVENTIVA</t>
  </si>
  <si>
    <t>PLANILHA ORÇAMENTÁRIA - ESTIMATIVA ANUAL DE MÃO DE OBRA - MANUTENÇÃO CORRETIVA</t>
  </si>
  <si>
    <t>QUANTIDADE DE MESES</t>
  </si>
  <si>
    <t>QUADRO DE COMPOSIÇÃO DO BDI.</t>
  </si>
  <si>
    <t>VALOR ANUAL MANUTENÇÃO CORRETIVA = [2]</t>
  </si>
  <si>
    <t>VALOR ANUAL MANUTENÇÃO PREVENTIVA =  [1]</t>
  </si>
  <si>
    <r>
      <t xml:space="preserve">Valor Unitário da Equipe (R$/h)
</t>
    </r>
    <r>
      <rPr>
        <sz val="11"/>
        <rFont val="Calibri"/>
        <family val="2"/>
      </rPr>
      <t>[ D ]</t>
    </r>
  </si>
  <si>
    <r>
      <t xml:space="preserve">Total de Horas
</t>
    </r>
    <r>
      <rPr>
        <sz val="11"/>
        <rFont val="Calibri"/>
        <family val="2"/>
      </rPr>
      <t>[C]</t>
    </r>
  </si>
  <si>
    <r>
      <t xml:space="preserve">Hora
</t>
    </r>
    <r>
      <rPr>
        <sz val="11"/>
        <rFont val="Calibri"/>
        <family val="2"/>
      </rPr>
      <t>[B]</t>
    </r>
  </si>
  <si>
    <r>
      <t xml:space="preserve">QTD
</t>
    </r>
    <r>
      <rPr>
        <sz val="11"/>
        <rFont val="Calibri"/>
        <family val="2"/>
      </rPr>
      <t>[A]</t>
    </r>
  </si>
  <si>
    <t>Valor TOTAL / ANO C/ BDI.
F = [E x Periodicidade]</t>
  </si>
  <si>
    <t>ORÇAMENTO ESTIMADO DOS SERVIÇOS DE MANUTENÇÃO PREVENTIVA
VALOR TOTAL /MÊS
 (estão inclusos TODOS os Edifícios do Complexo da Polícia Federal do Setor Policial Sul, Brasília/DF)</t>
  </si>
  <si>
    <t>ORÇAMENTO ESTIMADO DOS SERVIÇOS DE MANUTENÇÃO PREVENTIVA 
VALOR TOTAL / ANO
(estão inclusos TODOS os Edifícios do Complexo da Polícia Federal do Setor Policial Sul, Brasília/DF)
[1 + 2 + 3 + 4 + 5 + 6 + 7]</t>
  </si>
  <si>
    <t>PLANILHA ORÇAMENTÁRIA - MANUTENÇÃO PREVENTIVA.</t>
  </si>
  <si>
    <t>Contratação de empresa especializada no ramo de Engenharia para prestação de serviços contínuos de manutenção preventiva e corretiva nos sistema de Detecção, Prevenção a combate a incêndio, bem como acessórios e respectivas instalações, incluindo o fornecimento e a substituição integral de parte e peças das edificações da Polícia Federal localizadas no Setor Policial - Brasília - DF.</t>
  </si>
  <si>
    <t>JAN DE 2022</t>
  </si>
  <si>
    <t>SISTEMA DE DETECÇÃO, PREVENÇÃO E COMBATE A INCÊNDIO.</t>
  </si>
  <si>
    <t>COMPOSIÇÃO DA EQUIPE DE MANUTENÇÃO PREVENTIVA (ROTINA PRÉ-DEFINIDA).</t>
  </si>
  <si>
    <t xml:space="preserve"> SISTEMA DE DETECÇÃO, PREVENÇÃO E COMBATE A INCÊNDIO.</t>
  </si>
  <si>
    <t>PLANILHA ORÇAMENTÁRIA ESTIMATIVA DE SERVIÇOS/MATERIAIS  (sob demanda) DE MANUTENÇÃO CORRETIVA.</t>
  </si>
  <si>
    <t>Discriminação do Serviço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</si>
  <si>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</si>
  <si>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</si>
  <si>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</si>
  <si>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</si>
  <si>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</si>
  <si>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</si>
  <si>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</si>
  <si>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</si>
  <si>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</si>
  <si>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No período</t>
  </si>
  <si>
    <t>Acumulado</t>
  </si>
  <si>
    <r>
      <t xml:space="preserve">
</t>
    </r>
    <r>
      <rPr>
        <b/>
        <sz val="10"/>
        <rFont val="Arial"/>
        <family val="2"/>
      </rPr>
      <t xml:space="preserve">
SERVIÇO PÚBLICO FEDERAL
MJSP - POLÍCIA FEDERAL
SERVIÇO DE LOGÍSTICA - SELOG/DITEC/PF</t>
    </r>
  </si>
  <si>
    <t>Mês 10</t>
  </si>
  <si>
    <t>Mês 11</t>
  </si>
  <si>
    <t>Mês 12</t>
  </si>
  <si>
    <t>Total
Valores e % Execução.</t>
  </si>
  <si>
    <t>Complexo da Polícia Federal - Setor Policial Sul.</t>
  </si>
  <si>
    <r>
      <t>Referência Técnica:</t>
    </r>
    <r>
      <rPr>
        <b/>
        <sz val="12"/>
        <rFont val="Calibri"/>
        <family val="2"/>
      </rPr>
      <t xml:space="preserve"> JANEIRO DE 2022</t>
    </r>
    <r>
      <rPr>
        <sz val="12"/>
        <rFont val="Calibri"/>
        <family val="2"/>
        <charset val="1"/>
      </rPr>
      <t>.</t>
    </r>
  </si>
  <si>
    <t>Comando de Operações Táticas (COT).</t>
  </si>
  <si>
    <t>Instituto Nacional de Identificação (INI).</t>
  </si>
  <si>
    <r>
      <t>SISTEMA DE HIDRANTES E BOMBAS.</t>
    </r>
    <r>
      <rPr>
        <sz val="10"/>
        <rFont val="Arial"/>
        <family val="2"/>
      </rPr>
      <t xml:space="preserve"> </t>
    </r>
    <r>
      <rPr>
        <i/>
        <sz val="9"/>
        <rFont val="Arial"/>
        <family val="2"/>
      </rPr>
      <t>(Todos os edificos do Complexo da PF)</t>
    </r>
    <r>
      <rPr>
        <b/>
        <sz val="10"/>
        <rFont val="Arial"/>
        <family val="2"/>
      </rPr>
      <t>.</t>
    </r>
  </si>
  <si>
    <r>
      <t xml:space="preserve">SISTEMA DE SPRINKLERS.
</t>
    </r>
    <r>
      <rPr>
        <i/>
        <sz val="9"/>
        <rFont val="Arial"/>
        <family val="2"/>
      </rPr>
      <t>(Todos os edificos do Complexo da PF).</t>
    </r>
  </si>
  <si>
    <r>
      <t>SISTEMA DE DETECÇÃO E ALARME DE INCÊNDIO.</t>
    </r>
    <r>
      <rPr>
        <sz val="10"/>
        <rFont val="Arial"/>
        <family val="2"/>
      </rPr>
      <t xml:space="preserve"> </t>
    </r>
    <r>
      <rPr>
        <i/>
        <sz val="9"/>
        <rFont val="Arial"/>
        <family val="2"/>
      </rPr>
      <t>(Todos os edificos do Complexo da PF)</t>
    </r>
    <r>
      <rPr>
        <b/>
        <sz val="10"/>
        <rFont val="Arial"/>
        <family val="2"/>
      </rPr>
      <t>.</t>
    </r>
  </si>
  <si>
    <r>
      <t xml:space="preserve">SISTEMA DE PORTA CORTA-FOGO. </t>
    </r>
    <r>
      <rPr>
        <i/>
        <sz val="9"/>
        <rFont val="Arial"/>
        <family val="2"/>
      </rPr>
      <t>(Todos os edificos do Complexo da PF)</t>
    </r>
    <r>
      <rPr>
        <b/>
        <sz val="10"/>
        <rFont val="Arial"/>
        <family val="2"/>
      </rPr>
      <t>.</t>
    </r>
  </si>
  <si>
    <r>
      <t xml:space="preserve">SISTEMA DE SINALIZAÇÃO DE EMERGÊNCIA. </t>
    </r>
    <r>
      <rPr>
        <i/>
        <sz val="9"/>
        <rFont val="Arial"/>
        <family val="2"/>
      </rPr>
      <t>(Todos os edificos do Complexo da PF)</t>
    </r>
    <r>
      <rPr>
        <b/>
        <sz val="10"/>
        <rFont val="Arial"/>
        <family val="2"/>
      </rPr>
      <t>.</t>
    </r>
  </si>
  <si>
    <r>
      <t xml:space="preserve">SISTEMA DE ILUMINAÇÃO DE EMERGÊNCIA. </t>
    </r>
    <r>
      <rPr>
        <i/>
        <sz val="9"/>
        <rFont val="Arial"/>
        <family val="2"/>
      </rPr>
      <t>(Todos os edificos do Complexo da PF)</t>
    </r>
    <r>
      <rPr>
        <b/>
        <sz val="10"/>
        <rFont val="Arial"/>
        <family val="2"/>
      </rPr>
      <t>.</t>
    </r>
  </si>
  <si>
    <r>
      <t xml:space="preserve">Instituto Nacional de Criminalística - INC - </t>
    </r>
    <r>
      <rPr>
        <i/>
        <sz val="11"/>
        <rFont val="Arial"/>
        <family val="2"/>
      </rPr>
      <t>(Blocos A,B,C,D,E,F)</t>
    </r>
  </si>
  <si>
    <t>Total Valores / % Execução.</t>
  </si>
  <si>
    <t>OBJ.</t>
  </si>
  <si>
    <t xml:space="preserve">VALOR TOTAL ESTIMADO  (ANUAL) </t>
  </si>
  <si>
    <r>
      <t>VALOR TOTAL DA PLANILHA (</t>
    </r>
    <r>
      <rPr>
        <b/>
        <i/>
        <sz val="14"/>
        <color rgb="FF000000"/>
        <rFont val="Calibri"/>
        <family val="2"/>
      </rPr>
      <t>ANUAL)</t>
    </r>
    <r>
      <rPr>
        <b/>
        <sz val="14"/>
        <color rgb="FF000000"/>
        <rFont val="Calibri"/>
        <family val="2"/>
      </rPr>
      <t xml:space="preserve"> COM BDI [7] = [1+2+3+4+5+6]</t>
    </r>
  </si>
  <si>
    <t>Preço Unitário Mensal
c/ BDI</t>
  </si>
  <si>
    <t>BDI</t>
  </si>
  <si>
    <t>MANUTENÇÃO PREVENTIVA</t>
  </si>
  <si>
    <t>MANUTENÇÃO CORRETIVA</t>
  </si>
  <si>
    <t>Neste Cronograma estão inclusos todos os prédios da PF do Setor Policial Sul (Brasília/DF);
- INC (Instituto Nacional de Criminalística - Blocos de A a F);
- SR/DF (Superintendência Regional da Polícial Federal);
- COT (Comando de Operações Táticas);
 - DTI (Diretoria de Tecnologia da Informação e Inovação);
 - INI (Instituto Nacional de Identificação);
 - DAT/Divisão Antiterrorismo/Diretoria de Inteligência Policial).</t>
  </si>
  <si>
    <r>
      <t xml:space="preserve">Verificar o estado de conservação das placas: aperto/fixação, pintura, posicionamento e legibilidade, bem como observar se há obstrução do campo de visualização das placas. 
</t>
    </r>
    <r>
      <rPr>
        <b/>
        <i/>
        <u/>
        <sz val="11"/>
        <rFont val="Calibri"/>
        <family val="2"/>
      </rPr>
      <t xml:space="preserve">  (Verificação de todo o Sistema de Sinalização de Emergência de Todos os Empreendimentos do Complexo da Polícia Federal do Setor Policial Sul)</t>
    </r>
    <r>
      <rPr>
        <sz val="11"/>
        <rFont val="Calibri"/>
        <family val="2"/>
        <charset val="1"/>
      </rPr>
      <t>.</t>
    </r>
  </si>
  <si>
    <r>
      <t xml:space="preserve">Verificar o estado de conservação das demarcações de áreas e pisos, bem como das pinturas das tubulações e  demais acessórios que compõe o sistema de detecção, prevenção e combate a incêndio.  
 </t>
    </r>
    <r>
      <rPr>
        <b/>
        <i/>
        <u/>
        <sz val="11"/>
        <rFont val="Calibri"/>
        <family val="2"/>
      </rPr>
      <t>(Verificação de todo o Sistema de Sinaização de Emergência de Todos os Empreendimentos do Complexo da Polícia Federal do Setor Policial Sul)</t>
    </r>
    <r>
      <rPr>
        <sz val="11"/>
        <rFont val="Calibri"/>
        <family val="2"/>
        <charset val="1"/>
      </rPr>
      <t>.</t>
    </r>
  </si>
  <si>
    <t>ITEM 2 -  ESTIMATIVA ANUAL DE MÃO DE OBRA - MANUTENÇÃO CORRETIVA</t>
  </si>
  <si>
    <t>ITEM 3  - ORÇAMENTO ESTIMADO DOS SERVIÇOS (sob demanda) DE MANUTENÇÃO CORRETIVA .</t>
  </si>
  <si>
    <t xml:space="preserve"> CRONOGRAMA FÍSICO-FINANCEIRO - MANUTENÇÃO PREVENTIVA </t>
  </si>
  <si>
    <r>
      <t xml:space="preserve">Serviços contínuos de manutenção preventiva nos sistemas de detecção, prevenção e combate a incêndio, bem como acessórios e respectivas instalações, das edificações da Polícia Federal localizadas no Setor Policial – Brasília/DF. </t>
    </r>
    <r>
      <rPr>
        <b/>
        <sz val="12"/>
        <rFont val="Calibri"/>
        <family val="2"/>
        <scheme val="minor"/>
      </rPr>
      <t xml:space="preserve">
</t>
    </r>
    <r>
      <rPr>
        <b/>
        <i/>
        <sz val="12"/>
        <rFont val="Calibri"/>
        <family val="2"/>
        <scheme val="minor"/>
      </rPr>
      <t>(Todos os Edifícios do Complexo da Polícia Federal/DF (rotina pré-definida)</t>
    </r>
  </si>
  <si>
    <r>
      <t xml:space="preserve">Mão de Obra para os Serviços contínuos  de manutenção corretiva nos sistemas de detecção, prevenção e combate a incêndio, bem como acessórios e respectivas instalações, das edificações da Polícia Federal localizadas no Setor Policial – Brasília/DF..
</t>
    </r>
    <r>
      <rPr>
        <b/>
        <i/>
        <sz val="12"/>
        <rFont val="Calibri"/>
        <family val="2"/>
        <scheme val="minor"/>
      </rPr>
      <t>(Todos os Edifícios do Complexo da Polícia Federal/DF)</t>
    </r>
  </si>
  <si>
    <r>
      <t xml:space="preserve">Materiais e Serviços para os Serviços contínuos  de manutenção corretiva nos sistemas de detecção, prevenção e combate a incêndio, bem como acessórios e respectivas instalações, das edificações da Polícia Federal localizadas no Setor Policial – Brasília/DF.
</t>
    </r>
    <r>
      <rPr>
        <b/>
        <i/>
        <sz val="12"/>
        <rFont val="Calibri"/>
        <family val="2"/>
        <scheme val="minor"/>
      </rPr>
      <t>(Todos os Edifícios do Complexo da Polícia Federal</t>
    </r>
    <r>
      <rPr>
        <b/>
        <sz val="12"/>
        <rFont val="Calibri"/>
        <family val="2"/>
        <scheme val="minor"/>
      </rPr>
      <t>/DF</t>
    </r>
    <r>
      <rPr>
        <sz val="12"/>
        <rFont val="Calibri"/>
        <family val="2"/>
        <scheme val="minor"/>
      </rPr>
      <t>)</t>
    </r>
  </si>
  <si>
    <t>ELABORAÇÃO DE LAUDOS, RELATÓRIOS E PROJETO EXECUTIVO COM ART- SERVIÇO TÉCNICO ESPECIALIZADO - ENGENHEIRO.</t>
  </si>
  <si>
    <r>
      <rPr>
        <b/>
        <sz val="11"/>
        <rFont val="Calibri"/>
        <family val="2"/>
      </rPr>
      <t>ENGENHEIRO CIVIL PLENO</t>
    </r>
    <r>
      <rPr>
        <sz val="11"/>
        <rFont val="Calibri"/>
        <family val="2"/>
        <charset val="1"/>
      </rPr>
      <t xml:space="preserve">
Supervisão, Orientação, Gerenciamentos das equipes de Manutenção  e Elaboração de Laudos e Relatórios Mensais.
Elaboração do Projeto Exexutivo com ART.</t>
    </r>
  </si>
  <si>
    <t>NOTA: As células que deverão ser preenchidas pelos licitantes são as que estão destacadas em cor AMARELO, a saber (BDI e Preço unitário).</t>
  </si>
  <si>
    <t xml:space="preserve"> CRONOGRAMA FÍSICO-FINANCEIRO - MANUTENÇÃO CORRETIVA </t>
  </si>
  <si>
    <r>
      <t>ELABORAÇÃO DE LAUDOS, RELATÓRIOS E PROJETO EXECUTIVO C ART</t>
    </r>
    <r>
      <rPr>
        <sz val="10"/>
        <rFont val="Arial"/>
        <family val="2"/>
      </rPr>
      <t>.</t>
    </r>
    <r>
      <rPr>
        <b/>
        <sz val="10"/>
        <rFont val="Arial"/>
        <family val="2"/>
      </rPr>
      <t xml:space="preserve"> </t>
    </r>
    <r>
      <rPr>
        <i/>
        <sz val="9"/>
        <rFont val="Arial"/>
        <family val="2"/>
      </rPr>
      <t>(Todos os edificos do Complexo da PF)</t>
    </r>
    <r>
      <rPr>
        <b/>
        <sz val="10"/>
        <rFont val="Arial"/>
        <family val="2"/>
      </rPr>
      <t>.</t>
    </r>
  </si>
  <si>
    <t>Referência Técnica (SINAPI): Janeiro de 2022</t>
  </si>
  <si>
    <t>PLANILHA ORÇAMENTÁRIA - SINTÉTICA.</t>
  </si>
  <si>
    <t>VALOR GLOBAL ESTIMADO (ANUAL) C/ BDI.  3 = [ 1 + 2]</t>
  </si>
  <si>
    <t>Quantidade
ANUAL</t>
  </si>
  <si>
    <t>Quantidade
ANUAL.</t>
  </si>
  <si>
    <r>
      <rPr>
        <b/>
        <sz val="12"/>
        <rFont val="Calibri"/>
        <family val="2"/>
      </rPr>
      <t xml:space="preserve">BDI </t>
    </r>
    <r>
      <rPr>
        <sz val="12"/>
        <rFont val="Calibri"/>
        <family val="2"/>
        <charset val="1"/>
      </rPr>
      <t xml:space="preserve">
</t>
    </r>
  </si>
  <si>
    <t>Diretoria de Inteligência Policial (DIP).</t>
  </si>
  <si>
    <t>Superintendência Regional da Polícia Federal (SR/DF).</t>
  </si>
  <si>
    <t>Diretoria de Tecnologia da Informação e Inovação (DTI)</t>
  </si>
  <si>
    <t>Contratação de empresa especializada no ramo de Engenharia para prestação de serviços contínuos de manutenção preventiva e corretiva nos sistema de Detecção, Prevenção a combate a incêndio, bem como acessórios e respectivas instalações, incluindo o fornecimento e a substituição integral de parte e peças das edificações da Polícia Federal localizadas no Setor Policial Sul - Brasília/DF.</t>
  </si>
  <si>
    <t>Os Quantitativos e valores deste Cronograma é estimativo, visto que os serviços de Manuteção Corretiva serão executados sob demanda e de acordo com a necessidade de cada prédio da Polícia Federal.</t>
  </si>
  <si>
    <t>NOTA 01: As células que deverão ser preenchidas pelos licitantes são as que estão destacadas em cor AMARELO, a saber (BDI e Preço unitário).
NOTA 02: Os Quantitativos e valores desta Planilha é estimativo, visto que os serviços de Manuteção Corretiva serão executados sob demanda e de acordo com a necessidade de cada prédio da Polícia Federal.</t>
  </si>
  <si>
    <t>NOTA 01: As células que deverão ser preenchidas pelos licitantes são as que estão destacadas em cor AMARELO, a saber (BDI e Preço unitário).
NOTA 02:  Os Quantitativos e valores desta Planilha é estimativo, visto que os serviços de Manuteção Corretiva serão executados sob demanda e de acordo com a necessidade de cada prédio da Polícia Federal.</t>
  </si>
  <si>
    <r>
      <t xml:space="preserve">NOTA: </t>
    </r>
    <r>
      <rPr>
        <b/>
        <i/>
        <u/>
        <sz val="12"/>
        <rFont val="Calibri"/>
        <family val="2"/>
      </rPr>
      <t>As células que deverão ser preenchidas pelos licitantes são as que estão destacadas em cor AMARELO, a saber (BDI e Preço unitário).</t>
    </r>
    <r>
      <rPr>
        <b/>
        <sz val="12"/>
        <rFont val="Calibri"/>
        <family val="2"/>
      </rPr>
      <t xml:space="preserve">
ESTA É A PLANILHA ORÇAMENTÁRIA SINTÉTICA. Deve-se analisar as planilhas ANÁLITICAS as quais integram este documento, a saber:
1 - Planilha Orçamentária de Serviços de Manutenção PREVENTIVA;
2 - Planilha Orçamentária de Mão de Obra de Manutenção CORRETIVA;
3 - Planilha Orçamentária de Serviços/Materiais de Manutenção CORRETIVA.
4 - Composições
</t>
    </r>
  </si>
  <si>
    <t>Referência Técnica: SINAPI JANEIRO DE 2022</t>
  </si>
  <si>
    <r>
      <t>VALOR TOTAL DA PLANILHA (</t>
    </r>
    <r>
      <rPr>
        <b/>
        <i/>
        <sz val="14"/>
        <color rgb="FF000000"/>
        <rFont val="Calibri"/>
        <family val="2"/>
      </rPr>
      <t>MENSAL</t>
    </r>
    <r>
      <rPr>
        <b/>
        <sz val="14"/>
        <color rgb="FF000000"/>
        <rFont val="Calibri"/>
        <family val="2"/>
      </rPr>
      <t>) COM BDI [8] = [7] / 12</t>
    </r>
  </si>
  <si>
    <t>PARÂMETROS RETIRADOS DO ACORDÃO 2.622/2013 - TCU - PLENÁRIO.</t>
  </si>
  <si>
    <t>VALOR TOTAL ESTIMADO  (ANUAL) COM BDI  [1].</t>
  </si>
  <si>
    <t>VALOR TOTAL ESTIMADO  (MENSAL) COM BDI [2] = [1] /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</si>
</sst>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[$€-2]* #,##0.00_);_([$€-2]* \(#,##0.00\);_([$€-2]* \-??_)"/>
    <numFmt numFmtId="165" formatCode="_(&quot;R$ &quot;* #,##0.00_);_(&quot;R$ &quot;* \(#,##0.00\);_(&quot;R$ &quot;* \-??_);_(@_)"/>
    <numFmt numFmtId="166" formatCode="_-&quot;R$ &quot;* #,##0.00_-;&quot;-R$ &quot;* #,##0.00_-;_-&quot;R$ &quot;* \-??_-;_-@_-"/>
    <numFmt numFmtId="167" formatCode="_(* #,##0.00_);_(* \(#,##0.00\);_(* \-??_);_(@_)"/>
    <numFmt numFmtId="168" formatCode="_-* #,##0.00_-;\-* #,##0.00_-;_-* \-??_-;_-@_-"/>
    <numFmt numFmtId="169" formatCode="&quot;R$ &quot;#,##0.00"/>
    <numFmt numFmtId="170" formatCode="#,##0.00#####"/>
    <numFmt numFmtId="171" formatCode="[$R$-416]\ #,##0.00;[Red]\-[$R$-416]\ #,##0.00"/>
    <numFmt numFmtId="172" formatCode="&quot;R$&quot;\ #,##0.00"/>
    <numFmt numFmtId="173" formatCode="_(* #,##0.00_);_(* \(#,##0.00\);_(* &quot;-&quot;??_);_(@_)"/>
    <numFmt numFmtId="174" formatCode="_(&quot;R$ &quot;* #,##0.00_);_(&quot;R$ &quot;* \(#,##0.00\);_(&quot;R$ &quot;* &quot;-&quot;??_);_(@_)"/>
    <numFmt numFmtId="175" formatCode="0.00000"/>
    <numFmt numFmtId="176" formatCode="0.0%"/>
  </numFmts>
  <fonts count="64" x14ac:knownFonts="1">
    <font>
      <sz val="11"/>
      <color rgb="FF000000"/>
      <name val="Calibri"/>
      <family val="2"/>
      <charset val="1"/>
    </font>
    <font>
      <u/>
      <sz val="10"/>
      <color rgb="FF0000FF"/>
      <name val="Arial"/>
      <family val="2"/>
      <charset val="1"/>
    </font>
    <font>
      <sz val="10"/>
      <name val="Arial"/>
      <family val="2"/>
      <charset val="1"/>
    </font>
    <font>
      <sz val="11"/>
      <name val="Arial"/>
      <family val="1"/>
      <charset val="1"/>
    </font>
    <font>
      <sz val="12"/>
      <color rgb="FF000000"/>
      <name val="Arial"/>
      <family val="2"/>
      <charset val="1"/>
    </font>
    <font>
      <b/>
      <sz val="11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2"/>
      <color rgb="FFFFFF00"/>
      <name val="Arial"/>
      <family val="2"/>
      <charset val="1"/>
    </font>
    <font>
      <b/>
      <sz val="12"/>
      <name val="Arial"/>
      <family val="2"/>
      <charset val="1"/>
    </font>
    <font>
      <b/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2"/>
      <name val="Calibri"/>
      <family val="2"/>
    </font>
    <font>
      <b/>
      <sz val="10"/>
      <name val="Arial"/>
      <family val="2"/>
    </font>
    <font>
      <b/>
      <sz val="14"/>
      <name val="Calibri"/>
      <family val="2"/>
      <charset val="1"/>
    </font>
    <font>
      <sz val="11"/>
      <name val="Calibri"/>
      <family val="2"/>
      <charset val="1"/>
    </font>
    <font>
      <i/>
      <u/>
      <sz val="11"/>
      <name val="Calibri"/>
      <family val="2"/>
      <charset val="1"/>
    </font>
    <font>
      <b/>
      <sz val="12"/>
      <color rgb="FF000000"/>
      <name val="Calibri"/>
      <family val="2"/>
    </font>
    <font>
      <sz val="12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000000"/>
      <name val="Cambria"/>
      <family val="1"/>
    </font>
    <font>
      <b/>
      <sz val="12"/>
      <name val="Calibri"/>
      <family val="2"/>
      <charset val="1"/>
    </font>
    <font>
      <b/>
      <i/>
      <u/>
      <sz val="11"/>
      <name val="Calibri"/>
      <family val="2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name val="Calibri"/>
      <family val="2"/>
      <charset val="1"/>
    </font>
    <font>
      <sz val="1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i/>
      <sz val="14"/>
      <name val="Calibri"/>
      <family val="2"/>
    </font>
    <font>
      <b/>
      <sz val="14"/>
      <name val="Calibri"/>
      <family val="2"/>
    </font>
    <font>
      <b/>
      <sz val="12"/>
      <color theme="0"/>
      <name val="Calibri"/>
      <family val="2"/>
      <charset val="1"/>
    </font>
    <font>
      <b/>
      <sz val="20"/>
      <color rgb="FF000000"/>
      <name val="Calibri"/>
      <family val="2"/>
      <charset val="1"/>
    </font>
    <font>
      <sz val="20"/>
      <color rgb="FF000000"/>
      <name val="Calibri"/>
      <family val="2"/>
      <charset val="1"/>
    </font>
    <font>
      <b/>
      <u/>
      <sz val="20"/>
      <color rgb="FF0000FF"/>
      <name val="Calibri"/>
      <family val="2"/>
      <charset val="1"/>
    </font>
    <font>
      <b/>
      <sz val="14"/>
      <color theme="0"/>
      <name val="Calibri"/>
      <family val="2"/>
    </font>
    <font>
      <b/>
      <sz val="14"/>
      <color rgb="FF000000"/>
      <name val="Calibri"/>
      <family val="2"/>
    </font>
    <font>
      <sz val="10"/>
      <name val="Arial"/>
      <family val="2"/>
    </font>
    <font>
      <b/>
      <sz val="12"/>
      <color rgb="FFFFFFFF"/>
      <name val="Cambria"/>
      <family val="1"/>
    </font>
    <font>
      <b/>
      <sz val="8"/>
      <name val="Arial"/>
      <family val="2"/>
    </font>
    <font>
      <b/>
      <sz val="10"/>
      <color rgb="FF000000"/>
      <name val="Calibri"/>
      <family val="2"/>
    </font>
    <font>
      <b/>
      <sz val="11"/>
      <name val="Arial"/>
      <family val="2"/>
    </font>
    <font>
      <i/>
      <sz val="9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i/>
      <sz val="14"/>
      <color rgb="FF000000"/>
      <name val="Calibri"/>
      <family val="2"/>
    </font>
    <font>
      <b/>
      <i/>
      <u/>
      <sz val="12"/>
      <name val="Calibri"/>
      <family val="2"/>
    </font>
    <font>
      <b/>
      <i/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rgb="FF000000"/>
      <name val="Calibri"/>
      <family val="2"/>
      <charset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000000"/>
        <bgColor rgb="FF003300"/>
      </patternFill>
    </fill>
    <fill>
      <patternFill patternType="solid">
        <fgColor rgb="FFBFBFBF"/>
        <bgColor rgb="FFC0C0C0"/>
      </patternFill>
    </fill>
    <fill>
      <patternFill patternType="solid">
        <fgColor rgb="FF729FCF"/>
        <bgColor rgb="FFA6A6A6"/>
      </patternFill>
    </fill>
    <fill>
      <patternFill patternType="solid">
        <fgColor rgb="FF808080"/>
        <bgColor rgb="FF666699"/>
      </patternFill>
    </fill>
    <fill>
      <patternFill patternType="solid">
        <fgColor rgb="FFC0C0C0"/>
        <bgColor rgb="FFBFBFBF"/>
      </patternFill>
    </fill>
    <fill>
      <patternFill patternType="solid">
        <fgColor rgb="FFF2F2F2"/>
        <bgColor rgb="FFEFEFEF"/>
      </patternFill>
    </fill>
    <fill>
      <patternFill patternType="solid">
        <fgColor rgb="FFD7E4BD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theme="0" tint="-0.14999847407452621"/>
        <bgColor rgb="FFEFEFEF"/>
      </patternFill>
    </fill>
    <fill>
      <patternFill patternType="solid">
        <fgColor theme="1"/>
        <bgColor rgb="FFEFEFEF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rgb="FFEFEFEF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rgb="FFEFEFEF"/>
      </patternFill>
    </fill>
    <fill>
      <patternFill patternType="solid">
        <fgColor rgb="FF002060"/>
        <bgColor rgb="FF666699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rgb="FF00206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EFEFEF"/>
      </patternFill>
    </fill>
    <fill>
      <patternFill patternType="solid">
        <fgColor theme="0"/>
        <bgColor rgb="FFEFEFE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666699"/>
      </patternFill>
    </fill>
    <fill>
      <patternFill patternType="solid">
        <fgColor theme="9" tint="0.79998168889431442"/>
        <bgColor rgb="FFEFEFEF"/>
      </patternFill>
    </fill>
    <fill>
      <patternFill patternType="solid">
        <fgColor rgb="FF002060"/>
        <bgColor rgb="FFEFEFEF"/>
      </patternFill>
    </fill>
  </fills>
  <borders count="7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808080"/>
      </left>
      <right style="medium">
        <color rgb="FF808080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indexed="64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166" fontId="18" fillId="0" borderId="0" applyBorder="0" applyProtection="0"/>
    <xf numFmtId="9" fontId="18" fillId="0" borderId="0" applyBorder="0" applyProtection="0"/>
    <xf numFmtId="0" fontId="16" fillId="0" borderId="0" applyBorder="0" applyProtection="0"/>
    <xf numFmtId="3" fontId="18" fillId="0" borderId="0" applyBorder="0" applyProtection="0"/>
    <xf numFmtId="3" fontId="18" fillId="0" borderId="0" applyBorder="0" applyProtection="0"/>
    <xf numFmtId="164" fontId="18" fillId="0" borderId="0" applyBorder="0" applyProtection="0"/>
    <xf numFmtId="0" fontId="1" fillId="0" borderId="0" applyBorder="0" applyProtection="0"/>
    <xf numFmtId="165" fontId="18" fillId="0" borderId="0" applyBorder="0" applyProtection="0"/>
    <xf numFmtId="165" fontId="18" fillId="0" borderId="0" applyBorder="0" applyProtection="0"/>
    <xf numFmtId="165" fontId="18" fillId="0" borderId="0" applyBorder="0" applyProtection="0"/>
    <xf numFmtId="165" fontId="18" fillId="0" borderId="0" applyBorder="0" applyProtection="0"/>
    <xf numFmtId="165" fontId="18" fillId="0" borderId="0" applyBorder="0" applyProtection="0"/>
    <xf numFmtId="166" fontId="18" fillId="0" borderId="0" applyBorder="0" applyProtection="0"/>
    <xf numFmtId="166" fontId="18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3" fillId="0" borderId="0"/>
    <xf numFmtId="0" fontId="18" fillId="0" borderId="0"/>
    <xf numFmtId="0" fontId="18" fillId="0" borderId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0" fontId="18" fillId="2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43" fontId="18" fillId="0" borderId="0" applyFont="0" applyFill="0" applyBorder="0" applyAlignment="0" applyProtection="0"/>
  </cellStyleXfs>
  <cellXfs count="600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10" fontId="7" fillId="0" borderId="0" xfId="2" applyNumberFormat="1" applyFont="1" applyBorder="1" applyAlignment="1" applyProtection="1">
      <alignment horizontal="center" vertical="center"/>
    </xf>
    <xf numFmtId="166" fontId="9" fillId="6" borderId="8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66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166" fontId="4" fillId="3" borderId="3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1" fillId="3" borderId="0" xfId="0" applyFont="1" applyFill="1"/>
    <xf numFmtId="166" fontId="4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3" borderId="0" xfId="0" applyFill="1"/>
    <xf numFmtId="0" fontId="13" fillId="3" borderId="0" xfId="0" applyFont="1" applyFill="1" applyAlignment="1">
      <alignment horizontal="center" vertical="center"/>
    </xf>
    <xf numFmtId="0" fontId="13" fillId="3" borderId="0" xfId="0" applyFont="1" applyFill="1"/>
    <xf numFmtId="2" fontId="13" fillId="3" borderId="0" xfId="0" applyNumberFormat="1" applyFont="1" applyFill="1" applyAlignment="1">
      <alignment horizontal="center" vertical="center"/>
    </xf>
    <xf numFmtId="169" fontId="13" fillId="3" borderId="0" xfId="0" applyNumberFormat="1" applyFont="1" applyFill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0" fontId="2" fillId="0" borderId="12" xfId="17" applyBorder="1" applyAlignment="1">
      <alignment horizontal="center" vertical="center"/>
    </xf>
    <xf numFmtId="0" fontId="2" fillId="0" borderId="0" xfId="17" applyAlignment="1">
      <alignment horizontal="center" vertical="center"/>
    </xf>
    <xf numFmtId="0" fontId="2" fillId="0" borderId="0" xfId="17" applyAlignment="1">
      <alignment vertical="center"/>
    </xf>
    <xf numFmtId="0" fontId="2" fillId="0" borderId="13" xfId="17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6" fillId="0" borderId="0" xfId="0" applyNumberFormat="1" applyFont="1"/>
    <xf numFmtId="0" fontId="10" fillId="0" borderId="0" xfId="0" applyFont="1"/>
    <xf numFmtId="0" fontId="14" fillId="0" borderId="0" xfId="0" applyFont="1"/>
    <xf numFmtId="0" fontId="14" fillId="0" borderId="23" xfId="0" applyFont="1" applyBorder="1" applyAlignment="1">
      <alignment horizontal="center" vertical="center"/>
    </xf>
    <xf numFmtId="0" fontId="2" fillId="0" borderId="12" xfId="17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3" fillId="8" borderId="10" xfId="0" applyFont="1" applyFill="1" applyBorder="1" applyAlignment="1">
      <alignment horizontal="left" vertical="top" wrapText="1"/>
    </xf>
    <xf numFmtId="0" fontId="23" fillId="8" borderId="10" xfId="0" applyFont="1" applyFill="1" applyBorder="1" applyAlignment="1">
      <alignment horizontal="center" vertical="center" wrapText="1"/>
    </xf>
    <xf numFmtId="0" fontId="23" fillId="8" borderId="11" xfId="0" applyFont="1" applyFill="1" applyBorder="1" applyAlignment="1">
      <alignment horizontal="center" vertical="center" wrapText="1"/>
    </xf>
    <xf numFmtId="170" fontId="23" fillId="8" borderId="10" xfId="0" applyNumberFormat="1" applyFont="1" applyFill="1" applyBorder="1" applyAlignment="1">
      <alignment horizontal="center" vertical="center" wrapText="1"/>
    </xf>
    <xf numFmtId="2" fontId="23" fillId="8" borderId="10" xfId="0" applyNumberFormat="1" applyFont="1" applyFill="1" applyBorder="1" applyAlignment="1">
      <alignment horizontal="center" vertical="center" wrapText="1"/>
    </xf>
    <xf numFmtId="4" fontId="23" fillId="8" borderId="10" xfId="0" applyNumberFormat="1" applyFont="1" applyFill="1" applyBorder="1" applyAlignment="1">
      <alignment horizontal="center" vertical="center" wrapText="1"/>
    </xf>
    <xf numFmtId="169" fontId="23" fillId="8" borderId="10" xfId="0" applyNumberFormat="1" applyFont="1" applyFill="1" applyBorder="1" applyAlignment="1">
      <alignment horizontal="center" vertical="center" wrapText="1"/>
    </xf>
    <xf numFmtId="0" fontId="23" fillId="8" borderId="11" xfId="0" applyFont="1" applyFill="1" applyBorder="1" applyAlignment="1">
      <alignment horizontal="left" vertical="top" wrapText="1"/>
    </xf>
    <xf numFmtId="2" fontId="23" fillId="8" borderId="11" xfId="0" applyNumberFormat="1" applyFont="1" applyFill="1" applyBorder="1" applyAlignment="1">
      <alignment horizontal="center" vertical="center" wrapText="1"/>
    </xf>
    <xf numFmtId="170" fontId="23" fillId="8" borderId="11" xfId="0" applyNumberFormat="1" applyFont="1" applyFill="1" applyBorder="1" applyAlignment="1">
      <alignment horizontal="center" vertical="center" wrapText="1"/>
    </xf>
    <xf numFmtId="169" fontId="23" fillId="8" borderId="10" xfId="1" applyNumberFormat="1" applyFont="1" applyFill="1" applyBorder="1" applyAlignment="1" applyProtection="1">
      <alignment horizontal="center" vertical="center" wrapText="1"/>
    </xf>
    <xf numFmtId="0" fontId="23" fillId="8" borderId="11" xfId="0" applyFont="1" applyFill="1" applyBorder="1" applyAlignment="1">
      <alignment vertical="top" wrapText="1"/>
    </xf>
    <xf numFmtId="0" fontId="23" fillId="8" borderId="11" xfId="0" applyFont="1" applyFill="1" applyBorder="1" applyAlignment="1">
      <alignment horizontal="left" vertical="center" wrapText="1"/>
    </xf>
    <xf numFmtId="0" fontId="23" fillId="8" borderId="10" xfId="0" applyFont="1" applyFill="1" applyBorder="1" applyAlignment="1">
      <alignment horizontal="left" vertical="center" wrapText="1"/>
    </xf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Alignment="1">
      <alignment vertical="top" wrapText="1"/>
    </xf>
    <xf numFmtId="170" fontId="23" fillId="3" borderId="0" xfId="0" applyNumberFormat="1" applyFont="1" applyFill="1" applyAlignment="1">
      <alignment horizontal="center" vertical="center" wrapText="1"/>
    </xf>
    <xf numFmtId="2" fontId="23" fillId="3" borderId="0" xfId="0" applyNumberFormat="1" applyFont="1" applyFill="1" applyAlignment="1">
      <alignment horizontal="center" vertical="center" wrapText="1"/>
    </xf>
    <xf numFmtId="4" fontId="23" fillId="3" borderId="0" xfId="0" applyNumberFormat="1" applyFont="1" applyFill="1" applyAlignment="1">
      <alignment horizontal="center" vertical="center" wrapText="1"/>
    </xf>
    <xf numFmtId="169" fontId="23" fillId="3" borderId="0" xfId="0" applyNumberFormat="1" applyFont="1" applyFill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2" fontId="15" fillId="0" borderId="22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left" vertical="center" wrapText="1"/>
    </xf>
    <xf numFmtId="171" fontId="0" fillId="0" borderId="0" xfId="0" applyNumberFormat="1"/>
    <xf numFmtId="0" fontId="27" fillId="0" borderId="0" xfId="0" applyFont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vertical="center" wrapText="1"/>
    </xf>
    <xf numFmtId="166" fontId="4" fillId="0" borderId="27" xfId="0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vertical="top" wrapText="1"/>
    </xf>
    <xf numFmtId="170" fontId="23" fillId="3" borderId="0" xfId="0" applyNumberFormat="1" applyFont="1" applyFill="1" applyBorder="1" applyAlignment="1">
      <alignment horizontal="center" vertical="center" wrapText="1"/>
    </xf>
    <xf numFmtId="2" fontId="23" fillId="3" borderId="0" xfId="0" applyNumberFormat="1" applyFont="1" applyFill="1" applyBorder="1" applyAlignment="1">
      <alignment horizontal="center" vertical="center" wrapText="1"/>
    </xf>
    <xf numFmtId="4" fontId="23" fillId="3" borderId="0" xfId="0" applyNumberFormat="1" applyFont="1" applyFill="1" applyBorder="1" applyAlignment="1">
      <alignment horizontal="center" vertical="center" wrapText="1"/>
    </xf>
    <xf numFmtId="169" fontId="23" fillId="3" borderId="0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top" wrapText="1"/>
    </xf>
    <xf numFmtId="170" fontId="5" fillId="3" borderId="0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4" fontId="5" fillId="3" borderId="0" xfId="0" applyNumberFormat="1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169" fontId="29" fillId="7" borderId="1" xfId="0" applyNumberFormat="1" applyFont="1" applyFill="1" applyBorder="1" applyAlignment="1">
      <alignment horizontal="center" vertical="center" wrapText="1"/>
    </xf>
    <xf numFmtId="169" fontId="29" fillId="7" borderId="1" xfId="1" applyNumberFormat="1" applyFont="1" applyFill="1" applyBorder="1" applyAlignment="1" applyProtection="1">
      <alignment horizontal="center" vertical="center" wrapText="1"/>
    </xf>
    <xf numFmtId="0" fontId="27" fillId="0" borderId="0" xfId="0" applyFont="1"/>
    <xf numFmtId="0" fontId="15" fillId="9" borderId="1" xfId="0" applyFont="1" applyFill="1" applyBorder="1" applyAlignment="1">
      <alignment horizontal="center" vertical="center"/>
    </xf>
    <xf numFmtId="169" fontId="15" fillId="5" borderId="1" xfId="0" applyNumberFormat="1" applyFont="1" applyFill="1" applyBorder="1" applyAlignment="1">
      <alignment horizontal="center" vertical="center"/>
    </xf>
    <xf numFmtId="49" fontId="29" fillId="0" borderId="15" xfId="0" applyNumberFormat="1" applyFont="1" applyBorder="1" applyAlignment="1">
      <alignment horizontal="center" vertical="center"/>
    </xf>
    <xf numFmtId="0" fontId="32" fillId="6" borderId="5" xfId="0" applyFont="1" applyFill="1" applyBorder="1" applyAlignment="1">
      <alignment horizontal="center" vertical="center" wrapText="1"/>
    </xf>
    <xf numFmtId="0" fontId="32" fillId="7" borderId="11" xfId="0" applyFont="1" applyFill="1" applyBorder="1" applyAlignment="1">
      <alignment horizontal="center" vertical="center" wrapText="1"/>
    </xf>
    <xf numFmtId="4" fontId="32" fillId="7" borderId="11" xfId="0" applyNumberFormat="1" applyFont="1" applyFill="1" applyBorder="1" applyAlignment="1">
      <alignment horizontal="center" vertical="center" wrapText="1"/>
    </xf>
    <xf numFmtId="0" fontId="33" fillId="8" borderId="11" xfId="0" applyFont="1" applyFill="1" applyBorder="1" applyAlignment="1">
      <alignment horizontal="center" vertical="center" wrapText="1"/>
    </xf>
    <xf numFmtId="4" fontId="32" fillId="8" borderId="11" xfId="0" applyNumberFormat="1" applyFont="1" applyFill="1" applyBorder="1" applyAlignment="1">
      <alignment horizontal="center" vertical="center" wrapText="1"/>
    </xf>
    <xf numFmtId="0" fontId="33" fillId="11" borderId="11" xfId="0" applyFont="1" applyFill="1" applyBorder="1" applyAlignment="1">
      <alignment horizontal="center" vertical="center" wrapText="1"/>
    </xf>
    <xf numFmtId="4" fontId="32" fillId="11" borderId="1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6" borderId="3" xfId="0" applyFont="1" applyFill="1" applyBorder="1" applyAlignment="1">
      <alignment horizontal="center" vertical="center" wrapText="1"/>
    </xf>
    <xf numFmtId="0" fontId="29" fillId="7" borderId="3" xfId="0" applyFont="1" applyFill="1" applyBorder="1" applyAlignment="1">
      <alignment horizontal="center" vertical="center" wrapText="1"/>
    </xf>
    <xf numFmtId="170" fontId="29" fillId="7" borderId="3" xfId="0" applyNumberFormat="1" applyFont="1" applyFill="1" applyBorder="1" applyAlignment="1">
      <alignment horizontal="center" vertical="center" wrapText="1"/>
    </xf>
    <xf numFmtId="4" fontId="29" fillId="7" borderId="3" xfId="0" applyNumberFormat="1" applyFont="1" applyFill="1" applyBorder="1" applyAlignment="1">
      <alignment horizontal="center" vertical="center" wrapText="1"/>
    </xf>
    <xf numFmtId="0" fontId="26" fillId="8" borderId="10" xfId="0" applyFont="1" applyFill="1" applyBorder="1" applyAlignment="1">
      <alignment horizontal="center" vertical="center" wrapText="1"/>
    </xf>
    <xf numFmtId="0" fontId="26" fillId="8" borderId="11" xfId="0" applyFont="1" applyFill="1" applyBorder="1" applyAlignment="1">
      <alignment horizontal="center" vertical="center" wrapText="1"/>
    </xf>
    <xf numFmtId="0" fontId="26" fillId="8" borderId="10" xfId="0" applyFont="1" applyFill="1" applyBorder="1" applyAlignment="1">
      <alignment horizontal="left" vertical="center" wrapText="1"/>
    </xf>
    <xf numFmtId="170" fontId="26" fillId="8" borderId="11" xfId="0" applyNumberFormat="1" applyFont="1" applyFill="1" applyBorder="1" applyAlignment="1">
      <alignment horizontal="center" vertical="center" wrapText="1"/>
    </xf>
    <xf numFmtId="4" fontId="26" fillId="8" borderId="10" xfId="0" applyNumberFormat="1" applyFont="1" applyFill="1" applyBorder="1" applyAlignment="1">
      <alignment horizontal="center" vertical="center" wrapText="1"/>
    </xf>
    <xf numFmtId="170" fontId="26" fillId="8" borderId="10" xfId="0" applyNumberFormat="1" applyFont="1" applyFill="1" applyBorder="1" applyAlignment="1">
      <alignment horizontal="center" vertical="center" wrapText="1"/>
    </xf>
    <xf numFmtId="10" fontId="37" fillId="8" borderId="18" xfId="0" applyNumberFormat="1" applyFont="1" applyFill="1" applyBorder="1" applyAlignment="1">
      <alignment vertical="center" wrapText="1"/>
    </xf>
    <xf numFmtId="0" fontId="29" fillId="7" borderId="3" xfId="0" applyFont="1" applyFill="1" applyBorder="1" applyAlignment="1">
      <alignment horizontal="left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29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29" fillId="0" borderId="16" xfId="0" applyNumberFormat="1" applyFont="1" applyBorder="1" applyAlignment="1">
      <alignment horizontal="center" vertical="center"/>
    </xf>
    <xf numFmtId="172" fontId="0" fillId="0" borderId="0" xfId="0" applyNumberFormat="1" applyAlignment="1">
      <alignment horizontal="center" vertical="center"/>
    </xf>
    <xf numFmtId="0" fontId="39" fillId="8" borderId="10" xfId="0" applyFont="1" applyFill="1" applyBorder="1" applyAlignment="1">
      <alignment horizontal="left" vertical="top" wrapText="1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vertical="center"/>
    </xf>
    <xf numFmtId="0" fontId="41" fillId="0" borderId="0" xfId="0" applyFont="1" applyAlignment="1">
      <alignment horizontal="center"/>
    </xf>
    <xf numFmtId="2" fontId="26" fillId="8" borderId="11" xfId="0" applyNumberFormat="1" applyFont="1" applyFill="1" applyBorder="1" applyAlignment="1">
      <alignment horizontal="center" vertical="center" wrapText="1"/>
    </xf>
    <xf numFmtId="2" fontId="41" fillId="0" borderId="0" xfId="0" applyNumberFormat="1" applyFont="1" applyAlignment="1">
      <alignment horizontal="center"/>
    </xf>
    <xf numFmtId="10" fontId="26" fillId="8" borderId="10" xfId="0" applyNumberFormat="1" applyFont="1" applyFill="1" applyBorder="1" applyAlignment="1">
      <alignment horizontal="center" vertical="center" wrapText="1"/>
    </xf>
    <xf numFmtId="4" fontId="41" fillId="0" borderId="0" xfId="0" applyNumberFormat="1" applyFont="1" applyAlignment="1">
      <alignment horizontal="center"/>
    </xf>
    <xf numFmtId="0" fontId="29" fillId="6" borderId="6" xfId="0" applyFont="1" applyFill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 wrapText="1"/>
    </xf>
    <xf numFmtId="0" fontId="26" fillId="8" borderId="37" xfId="0" applyFont="1" applyFill="1" applyBorder="1" applyAlignment="1">
      <alignment horizontal="center" vertical="center" wrapText="1"/>
    </xf>
    <xf numFmtId="0" fontId="26" fillId="8" borderId="37" xfId="0" applyFont="1" applyFill="1" applyBorder="1" applyAlignment="1">
      <alignment horizontal="left" vertical="center" wrapText="1"/>
    </xf>
    <xf numFmtId="2" fontId="26" fillId="8" borderId="37" xfId="0" applyNumberFormat="1" applyFont="1" applyFill="1" applyBorder="1" applyAlignment="1">
      <alignment horizontal="center" vertical="center" wrapText="1"/>
    </xf>
    <xf numFmtId="4" fontId="26" fillId="8" borderId="37" xfId="0" applyNumberFormat="1" applyFont="1" applyFill="1" applyBorder="1" applyAlignment="1">
      <alignment horizontal="center" vertical="center" wrapText="1"/>
    </xf>
    <xf numFmtId="10" fontId="26" fillId="8" borderId="37" xfId="0" applyNumberFormat="1" applyFont="1" applyFill="1" applyBorder="1" applyAlignment="1">
      <alignment horizontal="center" vertical="center" wrapText="1"/>
    </xf>
    <xf numFmtId="4" fontId="26" fillId="8" borderId="38" xfId="0" applyNumberFormat="1" applyFont="1" applyFill="1" applyBorder="1" applyAlignment="1">
      <alignment horizontal="center" vertical="center" wrapText="1"/>
    </xf>
    <xf numFmtId="0" fontId="26" fillId="8" borderId="39" xfId="0" applyFont="1" applyFill="1" applyBorder="1" applyAlignment="1">
      <alignment horizontal="center" vertical="center" wrapText="1"/>
    </xf>
    <xf numFmtId="4" fontId="26" fillId="8" borderId="40" xfId="0" applyNumberFormat="1" applyFont="1" applyFill="1" applyBorder="1" applyAlignment="1">
      <alignment horizontal="center" vertical="center" wrapText="1"/>
    </xf>
    <xf numFmtId="0" fontId="26" fillId="8" borderId="41" xfId="0" applyFont="1" applyFill="1" applyBorder="1" applyAlignment="1">
      <alignment horizontal="center" vertical="center" wrapText="1"/>
    </xf>
    <xf numFmtId="0" fontId="26" fillId="8" borderId="42" xfId="0" applyFont="1" applyFill="1" applyBorder="1" applyAlignment="1">
      <alignment horizontal="center" vertical="center" wrapText="1"/>
    </xf>
    <xf numFmtId="0" fontId="26" fillId="8" borderId="42" xfId="0" applyFont="1" applyFill="1" applyBorder="1" applyAlignment="1">
      <alignment horizontal="left" vertical="center" wrapText="1"/>
    </xf>
    <xf numFmtId="2" fontId="26" fillId="8" borderId="41" xfId="0" applyNumberFormat="1" applyFont="1" applyFill="1" applyBorder="1" applyAlignment="1">
      <alignment horizontal="center" vertical="center" wrapText="1"/>
    </xf>
    <xf numFmtId="4" fontId="26" fillId="8" borderId="42" xfId="0" applyNumberFormat="1" applyFont="1" applyFill="1" applyBorder="1" applyAlignment="1">
      <alignment horizontal="center" vertical="center" wrapText="1"/>
    </xf>
    <xf numFmtId="10" fontId="26" fillId="8" borderId="42" xfId="0" applyNumberFormat="1" applyFont="1" applyFill="1" applyBorder="1" applyAlignment="1">
      <alignment horizontal="center" vertical="center" wrapText="1"/>
    </xf>
    <xf numFmtId="4" fontId="26" fillId="8" borderId="43" xfId="0" applyNumberFormat="1" applyFont="1" applyFill="1" applyBorder="1" applyAlignment="1">
      <alignment horizontal="center" vertical="center" wrapText="1"/>
    </xf>
    <xf numFmtId="4" fontId="44" fillId="17" borderId="46" xfId="0" applyNumberFormat="1" applyFont="1" applyFill="1" applyBorder="1" applyAlignment="1">
      <alignment horizontal="center" vertical="center" wrapText="1"/>
    </xf>
    <xf numFmtId="10" fontId="44" fillId="17" borderId="46" xfId="0" applyNumberFormat="1" applyFont="1" applyFill="1" applyBorder="1" applyAlignment="1">
      <alignment horizontal="center" vertical="center" wrapText="1"/>
    </xf>
    <xf numFmtId="4" fontId="44" fillId="17" borderId="47" xfId="0" applyNumberFormat="1" applyFont="1" applyFill="1" applyBorder="1" applyAlignment="1">
      <alignment horizontal="center" vertical="center" wrapText="1"/>
    </xf>
    <xf numFmtId="49" fontId="29" fillId="0" borderId="48" xfId="0" applyNumberFormat="1" applyFont="1" applyBorder="1" applyAlignment="1">
      <alignment horizontal="center" vertical="center"/>
    </xf>
    <xf numFmtId="49" fontId="29" fillId="0" borderId="49" xfId="0" applyNumberFormat="1" applyFont="1" applyBorder="1" applyAlignment="1">
      <alignment horizontal="center" vertical="center" wrapText="1"/>
    </xf>
    <xf numFmtId="10" fontId="27" fillId="0" borderId="22" xfId="0" applyNumberFormat="1" applyFont="1" applyBorder="1" applyAlignment="1">
      <alignment horizontal="center" vertical="center"/>
    </xf>
    <xf numFmtId="171" fontId="46" fillId="0" borderId="23" xfId="0" applyNumberFormat="1" applyFont="1" applyBorder="1" applyAlignment="1">
      <alignment horizontal="center" vertical="center"/>
    </xf>
    <xf numFmtId="0" fontId="47" fillId="0" borderId="0" xfId="0" applyFont="1"/>
    <xf numFmtId="0" fontId="46" fillId="0" borderId="23" xfId="0" applyFont="1" applyBorder="1" applyAlignment="1">
      <alignment horizontal="center" vertical="center"/>
    </xf>
    <xf numFmtId="0" fontId="48" fillId="0" borderId="23" xfId="3" applyFont="1" applyBorder="1" applyAlignment="1" applyProtection="1">
      <alignment horizontal="center" vertical="center"/>
    </xf>
    <xf numFmtId="171" fontId="47" fillId="0" borderId="0" xfId="0" applyNumberFormat="1" applyFont="1"/>
    <xf numFmtId="0" fontId="25" fillId="0" borderId="50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center" vertical="center" wrapText="1"/>
    </xf>
    <xf numFmtId="10" fontId="27" fillId="0" borderId="51" xfId="0" applyNumberFormat="1" applyFont="1" applyBorder="1" applyAlignment="1">
      <alignment horizontal="center" vertical="center"/>
    </xf>
    <xf numFmtId="10" fontId="15" fillId="9" borderId="1" xfId="0" applyNumberFormat="1" applyFont="1" applyFill="1" applyBorder="1" applyAlignment="1">
      <alignment horizontal="center" vertical="center"/>
    </xf>
    <xf numFmtId="170" fontId="23" fillId="8" borderId="10" xfId="0" applyNumberFormat="1" applyFont="1" applyFill="1" applyBorder="1" applyAlignment="1">
      <alignment horizontal="right" vertical="center" wrapText="1"/>
    </xf>
    <xf numFmtId="0" fontId="23" fillId="11" borderId="10" xfId="0" applyFont="1" applyFill="1" applyBorder="1" applyAlignment="1">
      <alignment horizontal="center" vertical="center" wrapText="1"/>
    </xf>
    <xf numFmtId="170" fontId="23" fillId="11" borderId="10" xfId="0" applyNumberFormat="1" applyFont="1" applyFill="1" applyBorder="1" applyAlignment="1">
      <alignment horizontal="center" vertical="center" wrapText="1"/>
    </xf>
    <xf numFmtId="2" fontId="23" fillId="11" borderId="11" xfId="0" applyNumberFormat="1" applyFont="1" applyFill="1" applyBorder="1" applyAlignment="1">
      <alignment horizontal="center" vertical="center" wrapText="1"/>
    </xf>
    <xf numFmtId="170" fontId="23" fillId="11" borderId="10" xfId="0" applyNumberFormat="1" applyFont="1" applyFill="1" applyBorder="1" applyAlignment="1">
      <alignment horizontal="right" vertical="center" wrapText="1"/>
    </xf>
    <xf numFmtId="0" fontId="23" fillId="11" borderId="52" xfId="0" applyFont="1" applyFill="1" applyBorder="1" applyAlignment="1">
      <alignment horizontal="center" vertical="center" wrapText="1"/>
    </xf>
    <xf numFmtId="170" fontId="23" fillId="11" borderId="52" xfId="0" applyNumberFormat="1" applyFont="1" applyFill="1" applyBorder="1" applyAlignment="1">
      <alignment horizontal="center" vertical="center" wrapText="1"/>
    </xf>
    <xf numFmtId="2" fontId="23" fillId="11" borderId="53" xfId="0" applyNumberFormat="1" applyFont="1" applyFill="1" applyBorder="1" applyAlignment="1">
      <alignment horizontal="center" vertical="center" wrapText="1"/>
    </xf>
    <xf numFmtId="170" fontId="23" fillId="11" borderId="52" xfId="0" applyNumberFormat="1" applyFont="1" applyFill="1" applyBorder="1" applyAlignment="1">
      <alignment horizontal="right" vertical="center" wrapText="1"/>
    </xf>
    <xf numFmtId="170" fontId="49" fillId="15" borderId="1" xfId="0" applyNumberFormat="1" applyFont="1" applyFill="1" applyBorder="1" applyAlignment="1">
      <alignment horizontal="right" vertical="center" wrapText="1"/>
    </xf>
    <xf numFmtId="0" fontId="23" fillId="8" borderId="36" xfId="0" applyFont="1" applyFill="1" applyBorder="1" applyAlignment="1">
      <alignment horizontal="center" vertical="center" wrapText="1"/>
    </xf>
    <xf numFmtId="0" fontId="23" fillId="8" borderId="37" xfId="0" applyFont="1" applyFill="1" applyBorder="1" applyAlignment="1">
      <alignment horizontal="center" vertical="center" wrapText="1"/>
    </xf>
    <xf numFmtId="170" fontId="23" fillId="8" borderId="37" xfId="0" applyNumberFormat="1" applyFont="1" applyFill="1" applyBorder="1" applyAlignment="1">
      <alignment horizontal="center" vertical="center" wrapText="1"/>
    </xf>
    <xf numFmtId="2" fontId="23" fillId="8" borderId="37" xfId="0" applyNumberFormat="1" applyFont="1" applyFill="1" applyBorder="1" applyAlignment="1">
      <alignment horizontal="center" vertical="center" wrapText="1"/>
    </xf>
    <xf numFmtId="170" fontId="23" fillId="8" borderId="38" xfId="0" applyNumberFormat="1" applyFont="1" applyFill="1" applyBorder="1" applyAlignment="1">
      <alignment horizontal="right" vertical="center" wrapText="1"/>
    </xf>
    <xf numFmtId="0" fontId="23" fillId="11" borderId="39" xfId="0" applyFont="1" applyFill="1" applyBorder="1" applyAlignment="1">
      <alignment horizontal="center" vertical="center" wrapText="1"/>
    </xf>
    <xf numFmtId="170" fontId="23" fillId="11" borderId="40" xfId="0" applyNumberFormat="1" applyFont="1" applyFill="1" applyBorder="1" applyAlignment="1">
      <alignment horizontal="right" vertical="center" wrapText="1"/>
    </xf>
    <xf numFmtId="0" fontId="23" fillId="8" borderId="39" xfId="0" applyFont="1" applyFill="1" applyBorder="1" applyAlignment="1">
      <alignment horizontal="center" vertical="center" wrapText="1"/>
    </xf>
    <xf numFmtId="170" fontId="23" fillId="8" borderId="40" xfId="0" applyNumberFormat="1" applyFont="1" applyFill="1" applyBorder="1" applyAlignment="1">
      <alignment horizontal="right" vertical="center" wrapText="1"/>
    </xf>
    <xf numFmtId="0" fontId="5" fillId="19" borderId="1" xfId="0" applyFont="1" applyFill="1" applyBorder="1" applyAlignment="1">
      <alignment horizontal="center" vertical="center" wrapText="1"/>
    </xf>
    <xf numFmtId="2" fontId="5" fillId="19" borderId="1" xfId="0" applyNumberFormat="1" applyFont="1" applyFill="1" applyBorder="1" applyAlignment="1">
      <alignment horizontal="center" vertical="center" wrapText="1"/>
    </xf>
    <xf numFmtId="0" fontId="23" fillId="11" borderId="11" xfId="0" applyFont="1" applyFill="1" applyBorder="1" applyAlignment="1">
      <alignment horizontal="left" vertical="center" wrapText="1"/>
    </xf>
    <xf numFmtId="0" fontId="23" fillId="8" borderId="37" xfId="0" applyFont="1" applyFill="1" applyBorder="1" applyAlignment="1">
      <alignment horizontal="left" vertical="center" wrapText="1"/>
    </xf>
    <xf numFmtId="0" fontId="23" fillId="11" borderId="53" xfId="0" applyFont="1" applyFill="1" applyBorder="1" applyAlignment="1">
      <alignment horizontal="left" vertical="center" wrapText="1"/>
    </xf>
    <xf numFmtId="0" fontId="5" fillId="19" borderId="1" xfId="0" applyFont="1" applyFill="1" applyBorder="1" applyAlignment="1">
      <alignment horizontal="left" vertical="center" wrapText="1"/>
    </xf>
    <xf numFmtId="0" fontId="23" fillId="3" borderId="0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/>
    <xf numFmtId="0" fontId="23" fillId="8" borderId="10" xfId="0" quotePrefix="1" applyFont="1" applyFill="1" applyBorder="1" applyAlignment="1">
      <alignment horizontal="left" vertical="center" wrapText="1"/>
    </xf>
    <xf numFmtId="49" fontId="40" fillId="0" borderId="1" xfId="0" applyNumberFormat="1" applyFont="1" applyBorder="1" applyAlignment="1">
      <alignment horizontal="center" vertical="center"/>
    </xf>
    <xf numFmtId="49" fontId="40" fillId="0" borderId="1" xfId="0" applyNumberFormat="1" applyFont="1" applyBorder="1" applyAlignment="1">
      <alignment vertical="center" wrapText="1"/>
    </xf>
    <xf numFmtId="49" fontId="40" fillId="0" borderId="1" xfId="0" applyNumberFormat="1" applyFont="1" applyBorder="1" applyAlignment="1">
      <alignment horizontal="center" vertical="center" wrapText="1"/>
    </xf>
    <xf numFmtId="0" fontId="49" fillId="12" borderId="15" xfId="0" applyFont="1" applyFill="1" applyBorder="1" applyAlignment="1">
      <alignment horizontal="right" vertical="center" wrapText="1"/>
    </xf>
    <xf numFmtId="0" fontId="49" fillId="12" borderId="20" xfId="0" applyFont="1" applyFill="1" applyBorder="1" applyAlignment="1">
      <alignment horizontal="right" vertical="center" wrapText="1"/>
    </xf>
    <xf numFmtId="170" fontId="49" fillId="12" borderId="20" xfId="0" applyNumberFormat="1" applyFont="1" applyFill="1" applyBorder="1" applyAlignment="1">
      <alignment horizontal="right" vertical="center" wrapText="1"/>
    </xf>
    <xf numFmtId="0" fontId="29" fillId="7" borderId="1" xfId="0" applyFont="1" applyFill="1" applyBorder="1" applyAlignment="1">
      <alignment horizontal="center" vertical="center" wrapText="1"/>
    </xf>
    <xf numFmtId="10" fontId="40" fillId="0" borderId="1" xfId="0" applyNumberFormat="1" applyFont="1" applyBorder="1" applyAlignment="1">
      <alignment vertical="center"/>
    </xf>
    <xf numFmtId="0" fontId="5" fillId="19" borderId="15" xfId="0" applyFont="1" applyFill="1" applyBorder="1" applyAlignment="1">
      <alignment horizontal="center" vertical="center" wrapText="1"/>
    </xf>
    <xf numFmtId="166" fontId="9" fillId="6" borderId="3" xfId="0" applyNumberFormat="1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 wrapText="1"/>
    </xf>
    <xf numFmtId="43" fontId="0" fillId="0" borderId="0" xfId="0" applyNumberFormat="1"/>
    <xf numFmtId="2" fontId="0" fillId="0" borderId="0" xfId="0" applyNumberFormat="1"/>
    <xf numFmtId="174" fontId="51" fillId="0" borderId="0" xfId="9" applyNumberFormat="1" applyFont="1" applyBorder="1" applyAlignment="1">
      <alignment horizontal="center" vertical="center" wrapText="1"/>
    </xf>
    <xf numFmtId="0" fontId="52" fillId="23" borderId="0" xfId="24" applyFont="1" applyFill="1" applyBorder="1" applyAlignment="1">
      <alignment horizontal="center" vertical="center"/>
    </xf>
    <xf numFmtId="0" fontId="0" fillId="16" borderId="0" xfId="0" applyFill="1"/>
    <xf numFmtId="10" fontId="4" fillId="0" borderId="3" xfId="0" applyNumberFormat="1" applyFont="1" applyBorder="1" applyAlignment="1">
      <alignment horizontal="center" vertical="center"/>
    </xf>
    <xf numFmtId="43" fontId="11" fillId="0" borderId="0" xfId="0" applyNumberFormat="1" applyFont="1"/>
    <xf numFmtId="43" fontId="11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2" fontId="9" fillId="6" borderId="9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27" fillId="0" borderId="0" xfId="0" applyNumberFormat="1" applyFont="1"/>
    <xf numFmtId="2" fontId="41" fillId="0" borderId="3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11" fillId="0" borderId="0" xfId="0" applyNumberFormat="1" applyFont="1"/>
    <xf numFmtId="2" fontId="4" fillId="3" borderId="3" xfId="0" applyNumberFormat="1" applyFont="1" applyFill="1" applyBorder="1" applyAlignment="1">
      <alignment horizontal="center" vertical="center"/>
    </xf>
    <xf numFmtId="2" fontId="11" fillId="3" borderId="0" xfId="0" applyNumberFormat="1" applyFont="1" applyFill="1"/>
    <xf numFmtId="2" fontId="4" fillId="0" borderId="3" xfId="0" applyNumberFormat="1" applyFont="1" applyBorder="1" applyAlignment="1">
      <alignment horizontal="left" vertical="center"/>
    </xf>
    <xf numFmtId="2" fontId="11" fillId="0" borderId="0" xfId="0" applyNumberFormat="1" applyFont="1" applyAlignment="1">
      <alignment horizontal="left" vertical="center"/>
    </xf>
    <xf numFmtId="2" fontId="27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vertical="center"/>
    </xf>
    <xf numFmtId="2" fontId="0" fillId="3" borderId="0" xfId="0" applyNumberFormat="1" applyFill="1"/>
    <xf numFmtId="2" fontId="12" fillId="0" borderId="0" xfId="0" applyNumberFormat="1" applyFont="1" applyAlignment="1">
      <alignment horizontal="center" vertical="center"/>
    </xf>
    <xf numFmtId="175" fontId="4" fillId="0" borderId="0" xfId="0" applyNumberFormat="1" applyFont="1" applyAlignment="1">
      <alignment horizontal="center" vertical="center"/>
    </xf>
    <xf numFmtId="0" fontId="50" fillId="0" borderId="0" xfId="0" applyFont="1"/>
    <xf numFmtId="0" fontId="50" fillId="16" borderId="0" xfId="0" applyFont="1" applyFill="1"/>
    <xf numFmtId="174" fontId="51" fillId="16" borderId="0" xfId="9" applyNumberFormat="1" applyFont="1" applyFill="1" applyBorder="1" applyAlignment="1">
      <alignment horizontal="center" vertical="center" wrapText="1"/>
    </xf>
    <xf numFmtId="174" fontId="21" fillId="0" borderId="65" xfId="9" applyNumberFormat="1" applyFont="1" applyBorder="1" applyAlignment="1">
      <alignment horizontal="center" vertical="center" wrapText="1"/>
    </xf>
    <xf numFmtId="174" fontId="21" fillId="0" borderId="64" xfId="9" applyNumberFormat="1" applyFont="1" applyBorder="1" applyAlignment="1">
      <alignment horizontal="center" vertical="center" wrapText="1"/>
    </xf>
    <xf numFmtId="9" fontId="51" fillId="24" borderId="59" xfId="31" applyFont="1" applyFill="1" applyBorder="1" applyAlignment="1">
      <alignment vertical="center" wrapText="1"/>
    </xf>
    <xf numFmtId="9" fontId="51" fillId="24" borderId="60" xfId="31" applyFont="1" applyFill="1" applyBorder="1" applyAlignment="1">
      <alignment vertical="center" wrapText="1"/>
    </xf>
    <xf numFmtId="43" fontId="51" fillId="24" borderId="62" xfId="55" applyFont="1" applyFill="1" applyBorder="1" applyAlignment="1">
      <alignment vertical="center" wrapText="1"/>
    </xf>
    <xf numFmtId="43" fontId="51" fillId="24" borderId="63" xfId="55" applyFont="1" applyFill="1" applyBorder="1" applyAlignment="1">
      <alignment vertical="center" wrapText="1"/>
    </xf>
    <xf numFmtId="43" fontId="51" fillId="0" borderId="62" xfId="55" applyFont="1" applyFill="1" applyBorder="1" applyAlignment="1">
      <alignment vertical="center" wrapText="1"/>
    </xf>
    <xf numFmtId="43" fontId="51" fillId="0" borderId="63" xfId="55" applyFont="1" applyFill="1" applyBorder="1" applyAlignment="1">
      <alignment vertical="center" wrapText="1"/>
    </xf>
    <xf numFmtId="173" fontId="51" fillId="0" borderId="0" xfId="50" applyNumberFormat="1" applyFont="1" applyBorder="1" applyAlignment="1">
      <alignment vertical="center"/>
    </xf>
    <xf numFmtId="9" fontId="51" fillId="0" borderId="58" xfId="31" applyFont="1" applyBorder="1" applyAlignment="1">
      <alignment horizontal="center" vertical="center" wrapText="1"/>
    </xf>
    <xf numFmtId="9" fontId="51" fillId="0" borderId="67" xfId="31" applyFont="1" applyBorder="1" applyAlignment="1">
      <alignment horizontal="center" vertical="center" wrapText="1"/>
    </xf>
    <xf numFmtId="43" fontId="51" fillId="0" borderId="61" xfId="55" applyFont="1" applyFill="1" applyBorder="1" applyAlignment="1">
      <alignment vertical="center" wrapText="1"/>
    </xf>
    <xf numFmtId="43" fontId="51" fillId="0" borderId="66" xfId="55" applyFont="1" applyFill="1" applyBorder="1" applyAlignment="1">
      <alignment vertical="center" wrapText="1"/>
    </xf>
    <xf numFmtId="173" fontId="51" fillId="0" borderId="0" xfId="50" applyNumberFormat="1" applyFont="1" applyBorder="1" applyAlignment="1">
      <alignment horizontal="right" vertical="center" wrapText="1"/>
    </xf>
    <xf numFmtId="9" fontId="51" fillId="0" borderId="58" xfId="31" applyFont="1" applyBorder="1" applyAlignment="1">
      <alignment horizontal="right" vertical="center" wrapText="1"/>
    </xf>
    <xf numFmtId="9" fontId="51" fillId="0" borderId="67" xfId="31" applyFont="1" applyBorder="1" applyAlignment="1">
      <alignment horizontal="right" vertical="center" wrapText="1"/>
    </xf>
    <xf numFmtId="43" fontId="51" fillId="0" borderId="68" xfId="55" applyFont="1" applyFill="1" applyBorder="1" applyAlignment="1">
      <alignment vertical="center" wrapText="1"/>
    </xf>
    <xf numFmtId="176" fontId="51" fillId="24" borderId="59" xfId="31" applyNumberFormat="1" applyFont="1" applyFill="1" applyBorder="1" applyAlignment="1">
      <alignment vertical="center" wrapText="1"/>
    </xf>
    <xf numFmtId="176" fontId="51" fillId="24" borderId="60" xfId="31" applyNumberFormat="1" applyFont="1" applyFill="1" applyBorder="1" applyAlignment="1">
      <alignment vertical="center" wrapText="1"/>
    </xf>
    <xf numFmtId="174" fontId="21" fillId="22" borderId="1" xfId="9" applyNumberFormat="1" applyFont="1" applyFill="1" applyBorder="1" applyAlignment="1">
      <alignment horizontal="center" vertical="center" wrapText="1"/>
    </xf>
    <xf numFmtId="173" fontId="51" fillId="16" borderId="0" xfId="50" applyNumberFormat="1" applyFont="1" applyFill="1" applyBorder="1" applyAlignment="1">
      <alignment vertical="center"/>
    </xf>
    <xf numFmtId="4" fontId="55" fillId="0" borderId="62" xfId="24" applyNumberFormat="1" applyFont="1" applyBorder="1" applyAlignment="1">
      <alignment vertical="center"/>
    </xf>
    <xf numFmtId="4" fontId="55" fillId="0" borderId="58" xfId="24" applyNumberFormat="1" applyFont="1" applyBorder="1" applyAlignment="1">
      <alignment vertical="center"/>
    </xf>
    <xf numFmtId="4" fontId="55" fillId="0" borderId="61" xfId="24" applyNumberFormat="1" applyFont="1" applyBorder="1" applyAlignment="1">
      <alignment vertical="center"/>
    </xf>
    <xf numFmtId="0" fontId="52" fillId="23" borderId="29" xfId="24" applyFont="1" applyFill="1" applyBorder="1" applyAlignment="1">
      <alignment horizontal="center" vertical="center"/>
    </xf>
    <xf numFmtId="0" fontId="21" fillId="21" borderId="1" xfId="24" applyFont="1" applyFill="1" applyBorder="1" applyAlignment="1">
      <alignment horizontal="center" vertical="center" wrapText="1"/>
    </xf>
    <xf numFmtId="0" fontId="21" fillId="21" borderId="1" xfId="24" applyFont="1" applyFill="1" applyBorder="1" applyAlignment="1">
      <alignment horizontal="center" vertical="center"/>
    </xf>
    <xf numFmtId="173" fontId="21" fillId="21" borderId="1" xfId="37" applyNumberFormat="1" applyFont="1" applyFill="1" applyBorder="1" applyAlignment="1">
      <alignment horizontal="center" vertical="center"/>
    </xf>
    <xf numFmtId="173" fontId="21" fillId="21" borderId="1" xfId="37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9" fontId="51" fillId="26" borderId="59" xfId="31" applyFont="1" applyFill="1" applyBorder="1" applyAlignment="1">
      <alignment vertical="center" wrapText="1"/>
    </xf>
    <xf numFmtId="9" fontId="51" fillId="26" borderId="60" xfId="31" applyFont="1" applyFill="1" applyBorder="1" applyAlignment="1">
      <alignment vertical="center" wrapText="1"/>
    </xf>
    <xf numFmtId="43" fontId="51" fillId="26" borderId="62" xfId="55" applyFont="1" applyFill="1" applyBorder="1" applyAlignment="1">
      <alignment vertical="center" wrapText="1"/>
    </xf>
    <xf numFmtId="43" fontId="51" fillId="26" borderId="63" xfId="55" applyFont="1" applyFill="1" applyBorder="1" applyAlignment="1">
      <alignment vertical="center" wrapText="1"/>
    </xf>
    <xf numFmtId="0" fontId="53" fillId="16" borderId="29" xfId="24" applyFont="1" applyFill="1" applyBorder="1" applyAlignment="1">
      <alignment vertical="center"/>
    </xf>
    <xf numFmtId="0" fontId="21" fillId="16" borderId="0" xfId="24" applyFont="1" applyFill="1" applyBorder="1" applyAlignment="1">
      <alignment horizontal="justify" vertical="center" wrapText="1"/>
    </xf>
    <xf numFmtId="0" fontId="21" fillId="16" borderId="0" xfId="24" applyFont="1" applyFill="1" applyBorder="1" applyAlignment="1">
      <alignment horizontal="center" vertical="center"/>
    </xf>
    <xf numFmtId="0" fontId="51" fillId="16" borderId="0" xfId="24" applyFont="1" applyFill="1" applyBorder="1" applyAlignment="1">
      <alignment vertical="center" wrapText="1"/>
    </xf>
    <xf numFmtId="0" fontId="50" fillId="16" borderId="33" xfId="0" applyFont="1" applyFill="1" applyBorder="1"/>
    <xf numFmtId="0" fontId="21" fillId="16" borderId="29" xfId="24" applyFont="1" applyFill="1" applyBorder="1"/>
    <xf numFmtId="0" fontId="51" fillId="16" borderId="0" xfId="24" applyFont="1" applyFill="1" applyBorder="1"/>
    <xf numFmtId="9" fontId="54" fillId="25" borderId="69" xfId="0" applyNumberFormat="1" applyFont="1" applyFill="1" applyBorder="1" applyAlignment="1">
      <alignment horizontal="right" vertical="center"/>
    </xf>
    <xf numFmtId="43" fontId="54" fillId="25" borderId="69" xfId="0" applyNumberFormat="1" applyFont="1" applyFill="1" applyBorder="1" applyAlignment="1">
      <alignment horizontal="right" vertical="center"/>
    </xf>
    <xf numFmtId="0" fontId="21" fillId="0" borderId="29" xfId="24" applyFont="1" applyBorder="1" applyAlignment="1">
      <alignment horizontal="center" vertical="center" wrapText="1"/>
    </xf>
    <xf numFmtId="0" fontId="21" fillId="0" borderId="0" xfId="24" applyFont="1" applyBorder="1" applyAlignment="1">
      <alignment horizontal="left" vertical="center" wrapText="1"/>
    </xf>
    <xf numFmtId="4" fontId="51" fillId="0" borderId="0" xfId="24" applyNumberFormat="1" applyFont="1" applyBorder="1" applyAlignment="1">
      <alignment vertical="center" wrapText="1"/>
    </xf>
    <xf numFmtId="4" fontId="51" fillId="0" borderId="0" xfId="24" applyNumberFormat="1" applyFont="1" applyBorder="1" applyAlignment="1">
      <alignment horizontal="right" vertical="center" wrapText="1"/>
    </xf>
    <xf numFmtId="0" fontId="51" fillId="0" borderId="0" xfId="24" applyFont="1" applyBorder="1" applyAlignment="1">
      <alignment vertical="center"/>
    </xf>
    <xf numFmtId="0" fontId="54" fillId="0" borderId="22" xfId="0" applyFont="1" applyBorder="1" applyAlignment="1">
      <alignment horizontal="right" vertical="center"/>
    </xf>
    <xf numFmtId="2" fontId="51" fillId="0" borderId="0" xfId="24" applyNumberFormat="1" applyFont="1" applyBorder="1" applyAlignment="1">
      <alignment horizontal="right" vertical="center" wrapText="1"/>
    </xf>
    <xf numFmtId="0" fontId="21" fillId="16" borderId="29" xfId="24" applyFont="1" applyFill="1" applyBorder="1" applyAlignment="1">
      <alignment horizontal="center" vertical="center" wrapText="1"/>
    </xf>
    <xf numFmtId="0" fontId="51" fillId="16" borderId="0" xfId="24" applyFont="1" applyFill="1" applyBorder="1" applyAlignment="1">
      <alignment horizontal="left" vertical="center" wrapText="1"/>
    </xf>
    <xf numFmtId="4" fontId="51" fillId="16" borderId="0" xfId="24" applyNumberFormat="1" applyFont="1" applyFill="1" applyBorder="1" applyAlignment="1">
      <alignment vertical="center" wrapText="1"/>
    </xf>
    <xf numFmtId="4" fontId="51" fillId="16" borderId="0" xfId="24" applyNumberFormat="1" applyFont="1" applyFill="1" applyBorder="1" applyAlignment="1">
      <alignment horizontal="right" vertical="center" wrapText="1"/>
    </xf>
    <xf numFmtId="0" fontId="51" fillId="16" borderId="0" xfId="24" applyFont="1" applyFill="1" applyBorder="1" applyAlignment="1">
      <alignment vertical="center"/>
    </xf>
    <xf numFmtId="44" fontId="51" fillId="16" borderId="0" xfId="24" applyNumberFormat="1" applyFont="1" applyFill="1" applyBorder="1" applyAlignment="1">
      <alignment vertical="center"/>
    </xf>
    <xf numFmtId="0" fontId="54" fillId="16" borderId="33" xfId="0" applyFont="1" applyFill="1" applyBorder="1"/>
    <xf numFmtId="0" fontId="54" fillId="0" borderId="33" xfId="0" applyFont="1" applyBorder="1"/>
    <xf numFmtId="4" fontId="51" fillId="16" borderId="0" xfId="24" applyNumberFormat="1" applyFont="1" applyFill="1" applyBorder="1" applyAlignment="1">
      <alignment vertical="center"/>
    </xf>
    <xf numFmtId="0" fontId="54" fillId="0" borderId="34" xfId="0" applyFont="1" applyBorder="1"/>
    <xf numFmtId="4" fontId="55" fillId="0" borderId="67" xfId="24" applyNumberFormat="1" applyFont="1" applyBorder="1" applyAlignment="1">
      <alignment vertical="center"/>
    </xf>
    <xf numFmtId="9" fontId="58" fillId="24" borderId="59" xfId="31" applyFont="1" applyFill="1" applyBorder="1" applyAlignment="1">
      <alignment horizontal="right" vertical="center" wrapText="1"/>
    </xf>
    <xf numFmtId="9" fontId="17" fillId="25" borderId="27" xfId="0" applyNumberFormat="1" applyFont="1" applyFill="1" applyBorder="1" applyAlignment="1">
      <alignment horizontal="right" vertical="center"/>
    </xf>
    <xf numFmtId="43" fontId="58" fillId="24" borderId="62" xfId="55" applyFont="1" applyFill="1" applyBorder="1" applyAlignment="1">
      <alignment horizontal="right" vertical="center" wrapText="1"/>
    </xf>
    <xf numFmtId="43" fontId="17" fillId="25" borderId="27" xfId="0" applyNumberFormat="1" applyFont="1" applyFill="1" applyBorder="1" applyAlignment="1">
      <alignment horizontal="right" vertical="center"/>
    </xf>
    <xf numFmtId="0" fontId="55" fillId="0" borderId="0" xfId="24" applyFont="1" applyAlignment="1">
      <alignment horizontal="center" vertical="center" wrapText="1"/>
    </xf>
    <xf numFmtId="0" fontId="55" fillId="0" borderId="0" xfId="24" applyFont="1" applyAlignment="1">
      <alignment horizontal="left" vertical="center" wrapText="1"/>
    </xf>
    <xf numFmtId="174" fontId="58" fillId="0" borderId="0" xfId="9" applyNumberFormat="1" applyFont="1" applyBorder="1" applyAlignment="1">
      <alignment horizontal="center" vertical="center" wrapText="1"/>
    </xf>
    <xf numFmtId="4" fontId="58" fillId="0" borderId="0" xfId="24" applyNumberFormat="1" applyFont="1" applyAlignment="1">
      <alignment horizontal="right" vertical="center" wrapText="1"/>
    </xf>
    <xf numFmtId="0" fontId="58" fillId="0" borderId="0" xfId="24" applyFont="1" applyAlignment="1">
      <alignment horizontal="right" vertical="center"/>
    </xf>
    <xf numFmtId="0" fontId="17" fillId="0" borderId="3" xfId="0" applyFont="1" applyBorder="1" applyAlignment="1">
      <alignment horizontal="right" vertical="center"/>
    </xf>
    <xf numFmtId="9" fontId="58" fillId="27" borderId="59" xfId="31" applyFont="1" applyFill="1" applyBorder="1" applyAlignment="1">
      <alignment horizontal="right" vertical="center" wrapText="1"/>
    </xf>
    <xf numFmtId="43" fontId="58" fillId="27" borderId="62" xfId="55" applyFont="1" applyFill="1" applyBorder="1" applyAlignment="1">
      <alignment horizontal="right" vertical="center" wrapText="1"/>
    </xf>
    <xf numFmtId="173" fontId="58" fillId="0" borderId="0" xfId="50" applyNumberFormat="1" applyFont="1" applyBorder="1" applyAlignment="1">
      <alignment horizontal="right" vertical="center"/>
    </xf>
    <xf numFmtId="2" fontId="58" fillId="0" borderId="0" xfId="24" applyNumberFormat="1" applyFont="1" applyAlignment="1">
      <alignment horizontal="right" vertical="center" wrapText="1"/>
    </xf>
    <xf numFmtId="9" fontId="58" fillId="0" borderId="58" xfId="31" applyFont="1" applyBorder="1" applyAlignment="1">
      <alignment horizontal="right" vertical="center" wrapText="1"/>
    </xf>
    <xf numFmtId="43" fontId="58" fillId="0" borderId="61" xfId="55" applyFont="1" applyFill="1" applyBorder="1" applyAlignment="1">
      <alignment horizontal="right" vertical="center" wrapText="1"/>
    </xf>
    <xf numFmtId="43" fontId="58" fillId="0" borderId="62" xfId="55" applyFont="1" applyFill="1" applyBorder="1" applyAlignment="1">
      <alignment horizontal="right" vertical="center" wrapText="1"/>
    </xf>
    <xf numFmtId="173" fontId="58" fillId="0" borderId="0" xfId="50" applyNumberFormat="1" applyFont="1" applyBorder="1" applyAlignment="1">
      <alignment horizontal="right" vertical="center" wrapText="1"/>
    </xf>
    <xf numFmtId="0" fontId="55" fillId="16" borderId="0" xfId="24" applyFont="1" applyFill="1" applyAlignment="1">
      <alignment horizontal="center" vertical="center" wrapText="1"/>
    </xf>
    <xf numFmtId="0" fontId="58" fillId="16" borderId="0" xfId="24" applyFont="1" applyFill="1" applyAlignment="1">
      <alignment horizontal="left" vertical="center" wrapText="1"/>
    </xf>
    <xf numFmtId="174" fontId="58" fillId="16" borderId="0" xfId="9" applyNumberFormat="1" applyFont="1" applyFill="1" applyBorder="1" applyAlignment="1">
      <alignment horizontal="center" vertical="center" wrapText="1"/>
    </xf>
    <xf numFmtId="4" fontId="58" fillId="16" borderId="0" xfId="24" applyNumberFormat="1" applyFont="1" applyFill="1" applyAlignment="1">
      <alignment horizontal="right" vertical="center" wrapText="1"/>
    </xf>
    <xf numFmtId="0" fontId="58" fillId="16" borderId="0" xfId="24" applyFont="1" applyFill="1" applyAlignment="1">
      <alignment horizontal="right" vertical="center"/>
    </xf>
    <xf numFmtId="44" fontId="58" fillId="16" borderId="0" xfId="24" applyNumberFormat="1" applyFont="1" applyFill="1" applyAlignment="1">
      <alignment horizontal="right" vertical="center"/>
    </xf>
    <xf numFmtId="0" fontId="17" fillId="16" borderId="0" xfId="0" applyFont="1" applyFill="1" applyAlignment="1">
      <alignment horizontal="right"/>
    </xf>
    <xf numFmtId="174" fontId="55" fillId="22" borderId="1" xfId="9" applyNumberFormat="1" applyFont="1" applyFill="1" applyBorder="1" applyAlignment="1">
      <alignment horizontal="center" vertical="center" wrapText="1"/>
    </xf>
    <xf numFmtId="0" fontId="17" fillId="0" borderId="0" xfId="0" applyFont="1"/>
    <xf numFmtId="4" fontId="58" fillId="16" borderId="0" xfId="24" applyNumberFormat="1" applyFont="1" applyFill="1" applyAlignment="1">
      <alignment vertical="center"/>
    </xf>
    <xf numFmtId="0" fontId="58" fillId="16" borderId="0" xfId="24" applyFont="1" applyFill="1" applyAlignment="1">
      <alignment vertical="center"/>
    </xf>
    <xf numFmtId="173" fontId="58" fillId="16" borderId="0" xfId="50" applyNumberFormat="1" applyFont="1" applyFill="1" applyBorder="1" applyAlignment="1">
      <alignment vertical="center"/>
    </xf>
    <xf numFmtId="0" fontId="17" fillId="16" borderId="0" xfId="0" applyFont="1" applyFill="1"/>
    <xf numFmtId="174" fontId="55" fillId="0" borderId="64" xfId="9" applyNumberFormat="1" applyFont="1" applyBorder="1" applyAlignment="1">
      <alignment horizontal="center" vertical="center" wrapText="1"/>
    </xf>
    <xf numFmtId="0" fontId="55" fillId="16" borderId="0" xfId="24" applyFont="1" applyFill="1" applyAlignment="1">
      <alignment vertical="center"/>
    </xf>
    <xf numFmtId="0" fontId="55" fillId="16" borderId="0" xfId="24" applyFont="1" applyFill="1" applyAlignment="1">
      <alignment horizontal="justify" vertical="center" wrapText="1"/>
    </xf>
    <xf numFmtId="0" fontId="55" fillId="16" borderId="0" xfId="24" applyFont="1" applyFill="1" applyAlignment="1">
      <alignment horizontal="center" vertical="center"/>
    </xf>
    <xf numFmtId="0" fontId="58" fillId="16" borderId="0" xfId="24" applyFont="1" applyFill="1" applyAlignment="1">
      <alignment vertical="center" wrapText="1"/>
    </xf>
    <xf numFmtId="0" fontId="55" fillId="21" borderId="1" xfId="24" applyFont="1" applyFill="1" applyBorder="1" applyAlignment="1">
      <alignment horizontal="center" vertical="center"/>
    </xf>
    <xf numFmtId="0" fontId="55" fillId="21" borderId="1" xfId="24" applyFont="1" applyFill="1" applyBorder="1" applyAlignment="1">
      <alignment horizontal="center" vertical="center" wrapText="1"/>
    </xf>
    <xf numFmtId="173" fontId="55" fillId="21" borderId="1" xfId="37" applyNumberFormat="1" applyFont="1" applyFill="1" applyBorder="1" applyAlignment="1">
      <alignment horizontal="center" vertical="center"/>
    </xf>
    <xf numFmtId="173" fontId="55" fillId="21" borderId="1" xfId="37" applyNumberFormat="1" applyFont="1" applyFill="1" applyBorder="1" applyAlignment="1">
      <alignment horizontal="center" vertical="center" wrapText="1"/>
    </xf>
    <xf numFmtId="0" fontId="55" fillId="16" borderId="0" xfId="24" applyFont="1" applyFill="1"/>
    <xf numFmtId="0" fontId="58" fillId="16" borderId="0" xfId="24" applyFont="1" applyFill="1"/>
    <xf numFmtId="0" fontId="32" fillId="7" borderId="11" xfId="0" applyFont="1" applyFill="1" applyBorder="1" applyAlignment="1">
      <alignment horizontal="center" vertical="center" wrapText="1"/>
    </xf>
    <xf numFmtId="4" fontId="44" fillId="28" borderId="47" xfId="0" applyNumberFormat="1" applyFont="1" applyFill="1" applyBorder="1" applyAlignment="1">
      <alignment horizontal="center" vertical="center" wrapText="1"/>
    </xf>
    <xf numFmtId="0" fontId="44" fillId="29" borderId="47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72" fontId="33" fillId="8" borderId="11" xfId="0" applyNumberFormat="1" applyFont="1" applyFill="1" applyBorder="1" applyAlignment="1">
      <alignment horizontal="center" vertical="center" wrapText="1"/>
    </xf>
    <xf numFmtId="172" fontId="33" fillId="11" borderId="11" xfId="0" applyNumberFormat="1" applyFont="1" applyFill="1" applyBorder="1" applyAlignment="1">
      <alignment horizontal="center" vertical="center" wrapText="1"/>
    </xf>
    <xf numFmtId="10" fontId="20" fillId="26" borderId="1" xfId="0" applyNumberFormat="1" applyFont="1" applyFill="1" applyBorder="1" applyAlignment="1">
      <alignment horizontal="center" vertical="center"/>
    </xf>
    <xf numFmtId="0" fontId="32" fillId="31" borderId="5" xfId="0" applyFont="1" applyFill="1" applyBorder="1" applyAlignment="1">
      <alignment horizontal="center" vertical="center" wrapText="1"/>
    </xf>
    <xf numFmtId="0" fontId="5" fillId="31" borderId="1" xfId="0" applyFont="1" applyFill="1" applyBorder="1" applyAlignment="1">
      <alignment horizontal="center" vertical="center" wrapText="1"/>
    </xf>
    <xf numFmtId="0" fontId="29" fillId="31" borderId="6" xfId="0" applyFont="1" applyFill="1" applyBorder="1" applyAlignment="1">
      <alignment horizontal="center" vertical="center" wrapText="1"/>
    </xf>
    <xf numFmtId="10" fontId="40" fillId="26" borderId="15" xfId="0" quotePrefix="1" applyNumberFormat="1" applyFont="1" applyFill="1" applyBorder="1" applyAlignment="1">
      <alignment vertical="center"/>
    </xf>
    <xf numFmtId="2" fontId="5" fillId="31" borderId="1" xfId="0" applyNumberFormat="1" applyFont="1" applyFill="1" applyBorder="1" applyAlignment="1">
      <alignment horizontal="center" vertical="center" wrapText="1"/>
    </xf>
    <xf numFmtId="10" fontId="20" fillId="26" borderId="1" xfId="2" applyNumberFormat="1" applyFont="1" applyFill="1" applyBorder="1" applyAlignment="1" applyProtection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" fontId="32" fillId="32" borderId="10" xfId="0" applyNumberFormat="1" applyFont="1" applyFill="1" applyBorder="1" applyAlignment="1">
      <alignment horizontal="center" vertical="center" wrapText="1"/>
    </xf>
    <xf numFmtId="4" fontId="62" fillId="33" borderId="1" xfId="0" applyNumberFormat="1" applyFont="1" applyFill="1" applyBorder="1" applyAlignment="1">
      <alignment horizontal="center" vertical="center" wrapText="1"/>
    </xf>
    <xf numFmtId="174" fontId="55" fillId="0" borderId="71" xfId="9" applyNumberFormat="1" applyFont="1" applyBorder="1" applyAlignment="1">
      <alignment horizontal="center" vertical="center" wrapText="1"/>
    </xf>
    <xf numFmtId="4" fontId="55" fillId="0" borderId="50" xfId="24" applyNumberFormat="1" applyFont="1" applyBorder="1" applyAlignment="1">
      <alignment vertical="center"/>
    </xf>
    <xf numFmtId="4" fontId="55" fillId="0" borderId="6" xfId="24" applyNumberFormat="1" applyFont="1" applyBorder="1" applyAlignment="1">
      <alignment vertical="center"/>
    </xf>
    <xf numFmtId="4" fontId="55" fillId="0" borderId="51" xfId="24" applyNumberFormat="1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31" fillId="14" borderId="15" xfId="0" applyNumberFormat="1" applyFont="1" applyFill="1" applyBorder="1" applyAlignment="1">
      <alignment horizontal="center" vertical="center"/>
    </xf>
    <xf numFmtId="49" fontId="31" fillId="14" borderId="20" xfId="0" applyNumberFormat="1" applyFont="1" applyFill="1" applyBorder="1" applyAlignment="1">
      <alignment horizontal="center" vertical="center"/>
    </xf>
    <xf numFmtId="49" fontId="31" fillId="14" borderId="7" xfId="0" applyNumberFormat="1" applyFont="1" applyFill="1" applyBorder="1" applyAlignment="1">
      <alignment horizontal="center" vertical="center"/>
    </xf>
    <xf numFmtId="0" fontId="2" fillId="0" borderId="1" xfId="17" applyBorder="1" applyAlignment="1">
      <alignment horizontal="center" vertical="center" wrapText="1"/>
    </xf>
    <xf numFmtId="0" fontId="44" fillId="4" borderId="1" xfId="0" applyFont="1" applyFill="1" applyBorder="1" applyAlignment="1">
      <alignment horizontal="center" vertical="center"/>
    </xf>
    <xf numFmtId="49" fontId="26" fillId="0" borderId="15" xfId="0" applyNumberFormat="1" applyFont="1" applyBorder="1" applyAlignment="1">
      <alignment horizontal="left" vertical="center" wrapText="1"/>
    </xf>
    <xf numFmtId="49" fontId="26" fillId="0" borderId="20" xfId="0" applyNumberFormat="1" applyFont="1" applyBorder="1" applyAlignment="1">
      <alignment horizontal="left" vertical="center" wrapText="1"/>
    </xf>
    <xf numFmtId="49" fontId="26" fillId="0" borderId="7" xfId="0" applyNumberFormat="1" applyFont="1" applyBorder="1" applyAlignment="1">
      <alignment horizontal="left" vertical="center" wrapText="1"/>
    </xf>
    <xf numFmtId="49" fontId="26" fillId="0" borderId="15" xfId="0" applyNumberFormat="1" applyFont="1" applyBorder="1" applyAlignment="1">
      <alignment horizontal="left" vertical="center"/>
    </xf>
    <xf numFmtId="49" fontId="26" fillId="0" borderId="20" xfId="0" applyNumberFormat="1" applyFont="1" applyBorder="1" applyAlignment="1">
      <alignment horizontal="left" vertical="center"/>
    </xf>
    <xf numFmtId="49" fontId="26" fillId="0" borderId="7" xfId="0" applyNumberFormat="1" applyFont="1" applyBorder="1" applyAlignment="1">
      <alignment horizontal="left" vertical="center"/>
    </xf>
    <xf numFmtId="49" fontId="20" fillId="26" borderId="26" xfId="0" applyNumberFormat="1" applyFont="1" applyFill="1" applyBorder="1" applyAlignment="1">
      <alignment horizontal="left" vertical="top" wrapText="1"/>
    </xf>
    <xf numFmtId="49" fontId="20" fillId="26" borderId="26" xfId="0" applyNumberFormat="1" applyFont="1" applyFill="1" applyBorder="1" applyAlignment="1">
      <alignment horizontal="left" vertical="top"/>
    </xf>
    <xf numFmtId="0" fontId="32" fillId="32" borderId="17" xfId="0" applyFont="1" applyFill="1" applyBorder="1" applyAlignment="1">
      <alignment horizontal="center" vertical="center" wrapText="1"/>
    </xf>
    <xf numFmtId="0" fontId="32" fillId="32" borderId="18" xfId="0" applyFont="1" applyFill="1" applyBorder="1" applyAlignment="1">
      <alignment horizontal="center" vertical="center" wrapText="1"/>
    </xf>
    <xf numFmtId="0" fontId="32" fillId="32" borderId="25" xfId="0" applyFont="1" applyFill="1" applyBorder="1" applyAlignment="1">
      <alignment horizontal="center" vertical="center" wrapText="1"/>
    </xf>
    <xf numFmtId="0" fontId="61" fillId="33" borderId="15" xfId="0" applyFont="1" applyFill="1" applyBorder="1" applyAlignment="1">
      <alignment horizontal="center" vertical="center" wrapText="1"/>
    </xf>
    <xf numFmtId="0" fontId="61" fillId="33" borderId="20" xfId="0" applyFont="1" applyFill="1" applyBorder="1" applyAlignment="1">
      <alignment horizontal="center" vertical="center" wrapText="1"/>
    </xf>
    <xf numFmtId="0" fontId="61" fillId="33" borderId="7" xfId="0" applyFont="1" applyFill="1" applyBorder="1" applyAlignment="1">
      <alignment horizontal="center" vertical="center" wrapText="1"/>
    </xf>
    <xf numFmtId="0" fontId="36" fillId="0" borderId="54" xfId="0" applyFont="1" applyBorder="1" applyAlignment="1">
      <alignment horizontal="center" vertical="center"/>
    </xf>
    <xf numFmtId="0" fontId="32" fillId="6" borderId="24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0" fontId="32" fillId="6" borderId="4" xfId="0" applyFont="1" applyFill="1" applyBorder="1" applyAlignment="1">
      <alignment horizontal="center" vertical="center" wrapText="1"/>
    </xf>
    <xf numFmtId="0" fontId="33" fillId="11" borderId="11" xfId="0" applyFont="1" applyFill="1" applyBorder="1" applyAlignment="1">
      <alignment horizontal="left" vertical="center" wrapText="1"/>
    </xf>
    <xf numFmtId="0" fontId="33" fillId="8" borderId="11" xfId="0" applyFont="1" applyFill="1" applyBorder="1" applyAlignment="1">
      <alignment horizontal="left" vertical="center" wrapText="1"/>
    </xf>
    <xf numFmtId="0" fontId="33" fillId="12" borderId="17" xfId="0" applyFont="1" applyFill="1" applyBorder="1" applyAlignment="1">
      <alignment horizontal="center" vertical="center" wrapText="1"/>
    </xf>
    <xf numFmtId="0" fontId="33" fillId="12" borderId="18" xfId="0" applyFont="1" applyFill="1" applyBorder="1" applyAlignment="1">
      <alignment horizontal="center" vertical="center" wrapText="1"/>
    </xf>
    <xf numFmtId="0" fontId="33" fillId="12" borderId="25" xfId="0" applyFont="1" applyFill="1" applyBorder="1" applyAlignment="1">
      <alignment horizontal="center" vertical="center" wrapText="1"/>
    </xf>
    <xf numFmtId="0" fontId="32" fillId="7" borderId="11" xfId="0" applyFont="1" applyFill="1" applyBorder="1" applyAlignment="1">
      <alignment horizontal="center" vertical="center" wrapText="1"/>
    </xf>
    <xf numFmtId="0" fontId="35" fillId="13" borderId="55" xfId="0" applyFont="1" applyFill="1" applyBorder="1" applyAlignment="1">
      <alignment horizontal="center" vertical="center" wrapText="1"/>
    </xf>
    <xf numFmtId="0" fontId="35" fillId="13" borderId="56" xfId="0" applyFont="1" applyFill="1" applyBorder="1" applyAlignment="1">
      <alignment horizontal="center" vertical="center" wrapText="1"/>
    </xf>
    <xf numFmtId="0" fontId="35" fillId="13" borderId="57" xfId="0" applyFont="1" applyFill="1" applyBorder="1" applyAlignment="1">
      <alignment horizontal="center" vertical="center" wrapText="1"/>
    </xf>
    <xf numFmtId="169" fontId="15" fillId="5" borderId="1" xfId="0" applyNumberFormat="1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49" fontId="26" fillId="0" borderId="1" xfId="0" applyNumberFormat="1" applyFont="1" applyBorder="1" applyAlignment="1">
      <alignment horizontal="left" vertical="center"/>
    </xf>
    <xf numFmtId="49" fontId="29" fillId="26" borderId="1" xfId="0" applyNumberFormat="1" applyFont="1" applyFill="1" applyBorder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49" fontId="29" fillId="26" borderId="15" xfId="0" applyNumberFormat="1" applyFont="1" applyFill="1" applyBorder="1" applyAlignment="1">
      <alignment horizontal="left" vertical="center"/>
    </xf>
    <xf numFmtId="49" fontId="29" fillId="26" borderId="20" xfId="0" applyNumberFormat="1" applyFont="1" applyFill="1" applyBorder="1" applyAlignment="1">
      <alignment horizontal="left" vertical="center"/>
    </xf>
    <xf numFmtId="49" fontId="29" fillId="26" borderId="7" xfId="0" applyNumberFormat="1" applyFont="1" applyFill="1" applyBorder="1" applyAlignment="1">
      <alignment horizontal="left" vertical="center"/>
    </xf>
    <xf numFmtId="0" fontId="2" fillId="3" borderId="2" xfId="17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43" fillId="28" borderId="15" xfId="0" applyFont="1" applyFill="1" applyBorder="1" applyAlignment="1">
      <alignment horizontal="right" vertical="center" wrapText="1"/>
    </xf>
    <xf numFmtId="0" fontId="43" fillId="28" borderId="20" xfId="0" applyFont="1" applyFill="1" applyBorder="1" applyAlignment="1">
      <alignment horizontal="right" vertical="center" wrapText="1"/>
    </xf>
    <xf numFmtId="0" fontId="43" fillId="28" borderId="70" xfId="0" applyFont="1" applyFill="1" applyBorder="1" applyAlignment="1">
      <alignment horizontal="right" vertical="center" wrapText="1"/>
    </xf>
    <xf numFmtId="0" fontId="43" fillId="29" borderId="15" xfId="0" applyFont="1" applyFill="1" applyBorder="1" applyAlignment="1">
      <alignment horizontal="right" vertical="center" wrapText="1"/>
    </xf>
    <xf numFmtId="0" fontId="43" fillId="29" borderId="20" xfId="0" applyFont="1" applyFill="1" applyBorder="1" applyAlignment="1">
      <alignment horizontal="right" vertical="center" wrapText="1"/>
    </xf>
    <xf numFmtId="0" fontId="43" fillId="29" borderId="70" xfId="0" applyFont="1" applyFill="1" applyBorder="1" applyAlignment="1">
      <alignment horizontal="right" vertical="center" wrapText="1"/>
    </xf>
    <xf numFmtId="49" fontId="26" fillId="0" borderId="49" xfId="0" applyNumberFormat="1" applyFont="1" applyBorder="1" applyAlignment="1">
      <alignment horizontal="left" vertical="top" wrapText="1"/>
    </xf>
    <xf numFmtId="49" fontId="38" fillId="0" borderId="29" xfId="0" applyNumberFormat="1" applyFont="1" applyBorder="1" applyAlignment="1">
      <alignment horizontal="center" vertical="center" wrapText="1"/>
    </xf>
    <xf numFmtId="49" fontId="26" fillId="0" borderId="33" xfId="0" applyNumberFormat="1" applyFont="1" applyBorder="1" applyAlignment="1">
      <alignment horizontal="center" vertical="center" wrapText="1"/>
    </xf>
    <xf numFmtId="49" fontId="6" fillId="16" borderId="35" xfId="0" applyNumberFormat="1" applyFont="1" applyFill="1" applyBorder="1" applyAlignment="1">
      <alignment horizontal="center" vertical="center"/>
    </xf>
    <xf numFmtId="0" fontId="29" fillId="7" borderId="15" xfId="0" applyFont="1" applyFill="1" applyBorder="1" applyAlignment="1">
      <alignment horizontal="center" vertical="center" wrapText="1"/>
    </xf>
    <xf numFmtId="0" fontId="29" fillId="7" borderId="20" xfId="0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0" fontId="43" fillId="17" borderId="15" xfId="0" applyFont="1" applyFill="1" applyBorder="1" applyAlignment="1">
      <alignment horizontal="right" vertical="center" wrapText="1"/>
    </xf>
    <xf numFmtId="0" fontId="43" fillId="17" borderId="45" xfId="0" applyFont="1" applyFill="1" applyBorder="1" applyAlignment="1">
      <alignment horizontal="right" vertic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0" xfId="0" applyFont="1" applyFill="1" applyBorder="1" applyAlignment="1">
      <alignment horizontal="center" vertical="center" wrapText="1"/>
    </xf>
    <xf numFmtId="0" fontId="26" fillId="12" borderId="44" xfId="0" applyFont="1" applyFill="1" applyBorder="1" applyAlignment="1">
      <alignment horizontal="center" vertical="center" wrapText="1"/>
    </xf>
    <xf numFmtId="49" fontId="22" fillId="5" borderId="15" xfId="0" applyNumberFormat="1" applyFont="1" applyFill="1" applyBorder="1" applyAlignment="1">
      <alignment horizontal="center" vertical="center"/>
    </xf>
    <xf numFmtId="49" fontId="22" fillId="5" borderId="20" xfId="0" applyNumberFormat="1" applyFont="1" applyFill="1" applyBorder="1" applyAlignment="1">
      <alignment horizontal="center" vertical="center"/>
    </xf>
    <xf numFmtId="49" fontId="22" fillId="5" borderId="7" xfId="0" applyNumberFormat="1" applyFont="1" applyFill="1" applyBorder="1" applyAlignment="1">
      <alignment horizontal="center" vertical="center"/>
    </xf>
    <xf numFmtId="49" fontId="26" fillId="0" borderId="16" xfId="0" applyNumberFormat="1" applyFont="1" applyBorder="1" applyAlignment="1">
      <alignment horizontal="left" vertical="center"/>
    </xf>
    <xf numFmtId="49" fontId="26" fillId="0" borderId="26" xfId="0" applyNumberFormat="1" applyFont="1" applyBorder="1" applyAlignment="1">
      <alignment horizontal="left" vertical="center"/>
    </xf>
    <xf numFmtId="49" fontId="26" fillId="0" borderId="30" xfId="0" applyNumberFormat="1" applyFont="1" applyBorder="1" applyAlignment="1">
      <alignment horizontal="left" vertical="center"/>
    </xf>
    <xf numFmtId="49" fontId="29" fillId="26" borderId="15" xfId="0" applyNumberFormat="1" applyFont="1" applyFill="1" applyBorder="1" applyAlignment="1">
      <alignment horizontal="left" vertical="center" wrapText="1"/>
    </xf>
    <xf numFmtId="0" fontId="2" fillId="0" borderId="16" xfId="17" applyBorder="1" applyAlignment="1">
      <alignment horizontal="center" vertical="center" wrapText="1"/>
    </xf>
    <xf numFmtId="0" fontId="2" fillId="0" borderId="26" xfId="17" applyBorder="1" applyAlignment="1">
      <alignment horizontal="center" vertical="center" wrapText="1"/>
    </xf>
    <xf numFmtId="0" fontId="2" fillId="0" borderId="30" xfId="17" applyBorder="1" applyAlignment="1">
      <alignment horizontal="center" vertical="center" wrapText="1"/>
    </xf>
    <xf numFmtId="0" fontId="2" fillId="0" borderId="29" xfId="17" applyBorder="1" applyAlignment="1">
      <alignment horizontal="center" vertical="center" wrapText="1"/>
    </xf>
    <xf numFmtId="0" fontId="2" fillId="0" borderId="0" xfId="17" applyBorder="1" applyAlignment="1">
      <alignment horizontal="center" vertical="center" wrapText="1"/>
    </xf>
    <xf numFmtId="0" fontId="2" fillId="0" borderId="33" xfId="17" applyBorder="1" applyAlignment="1">
      <alignment horizontal="center" vertical="center" wrapText="1"/>
    </xf>
    <xf numFmtId="0" fontId="2" fillId="0" borderId="31" xfId="17" applyBorder="1" applyAlignment="1">
      <alignment horizontal="center" vertical="center" wrapText="1"/>
    </xf>
    <xf numFmtId="0" fontId="2" fillId="0" borderId="32" xfId="17" applyBorder="1" applyAlignment="1">
      <alignment horizontal="center" vertical="center" wrapText="1"/>
    </xf>
    <xf numFmtId="0" fontId="2" fillId="0" borderId="34" xfId="17" applyBorder="1" applyAlignment="1">
      <alignment horizontal="center" vertical="center" wrapText="1"/>
    </xf>
    <xf numFmtId="49" fontId="38" fillId="26" borderId="29" xfId="0" applyNumberFormat="1" applyFont="1" applyFill="1" applyBorder="1" applyAlignment="1">
      <alignment horizontal="center" vertical="center" wrapText="1"/>
    </xf>
    <xf numFmtId="49" fontId="26" fillId="26" borderId="0" xfId="0" applyNumberFormat="1" applyFont="1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10" fontId="20" fillId="26" borderId="15" xfId="0" applyNumberFormat="1" applyFont="1" applyFill="1" applyBorder="1" applyAlignment="1">
      <alignment horizontal="center" vertical="center"/>
    </xf>
    <xf numFmtId="10" fontId="20" fillId="26" borderId="7" xfId="0" applyNumberFormat="1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/>
    </xf>
    <xf numFmtId="0" fontId="50" fillId="0" borderId="30" xfId="0" applyFont="1" applyBorder="1" applyAlignment="1">
      <alignment horizontal="center" vertical="center"/>
    </xf>
    <xf numFmtId="0" fontId="50" fillId="0" borderId="31" xfId="0" applyFont="1" applyBorder="1" applyAlignment="1">
      <alignment horizontal="center" vertical="center"/>
    </xf>
    <xf numFmtId="0" fontId="50" fillId="0" borderId="32" xfId="0" applyFont="1" applyBorder="1" applyAlignment="1">
      <alignment horizontal="center" vertical="center"/>
    </xf>
    <xf numFmtId="0" fontId="50" fillId="0" borderId="34" xfId="0" applyFont="1" applyBorder="1" applyAlignment="1">
      <alignment horizontal="center" vertical="center"/>
    </xf>
    <xf numFmtId="1" fontId="50" fillId="0" borderId="14" xfId="0" applyNumberFormat="1" applyFont="1" applyBorder="1" applyAlignment="1">
      <alignment horizontal="center" vertical="center"/>
    </xf>
    <xf numFmtId="1" fontId="50" fillId="0" borderId="48" xfId="0" applyNumberFormat="1" applyFont="1" applyBorder="1" applyAlignment="1">
      <alignment horizontal="center" vertical="center"/>
    </xf>
    <xf numFmtId="0" fontId="50" fillId="30" borderId="16" xfId="0" applyFont="1" applyFill="1" applyBorder="1" applyAlignment="1">
      <alignment horizontal="center" vertical="center"/>
    </xf>
    <xf numFmtId="0" fontId="50" fillId="30" borderId="26" xfId="0" applyFont="1" applyFill="1" applyBorder="1" applyAlignment="1">
      <alignment horizontal="center" vertical="center"/>
    </xf>
    <xf numFmtId="0" fontId="50" fillId="30" borderId="30" xfId="0" applyFont="1" applyFill="1" applyBorder="1" applyAlignment="1">
      <alignment horizontal="center" vertical="center"/>
    </xf>
    <xf numFmtId="0" fontId="50" fillId="30" borderId="31" xfId="0" applyFont="1" applyFill="1" applyBorder="1" applyAlignment="1">
      <alignment horizontal="center" vertical="center"/>
    </xf>
    <xf numFmtId="0" fontId="50" fillId="30" borderId="32" xfId="0" applyFont="1" applyFill="1" applyBorder="1" applyAlignment="1">
      <alignment horizontal="center" vertical="center"/>
    </xf>
    <xf numFmtId="0" fontId="50" fillId="30" borderId="34" xfId="0" applyFont="1" applyFill="1" applyBorder="1" applyAlignment="1">
      <alignment horizontal="center" vertical="center"/>
    </xf>
    <xf numFmtId="172" fontId="50" fillId="30" borderId="14" xfId="0" applyNumberFormat="1" applyFont="1" applyFill="1" applyBorder="1" applyAlignment="1">
      <alignment horizontal="center" vertical="center"/>
    </xf>
    <xf numFmtId="172" fontId="50" fillId="30" borderId="48" xfId="0" applyNumberFormat="1" applyFont="1" applyFill="1" applyBorder="1" applyAlignment="1">
      <alignment horizontal="center" vertical="center"/>
    </xf>
    <xf numFmtId="0" fontId="0" fillId="16" borderId="26" xfId="0" applyFill="1" applyBorder="1" applyAlignment="1">
      <alignment horizontal="center" vertical="center"/>
    </xf>
    <xf numFmtId="0" fontId="49" fillId="12" borderId="0" xfId="0" applyFont="1" applyFill="1" applyBorder="1" applyAlignment="1">
      <alignment horizontal="center" vertical="center" wrapText="1"/>
    </xf>
    <xf numFmtId="0" fontId="49" fillId="12" borderId="4" xfId="0" applyFont="1" applyFill="1" applyBorder="1" applyAlignment="1">
      <alignment horizontal="center" vertical="center" wrapText="1"/>
    </xf>
    <xf numFmtId="0" fontId="49" fillId="15" borderId="15" xfId="0" applyFont="1" applyFill="1" applyBorder="1" applyAlignment="1">
      <alignment horizontal="right" vertical="center" wrapText="1"/>
    </xf>
    <xf numFmtId="0" fontId="49" fillId="15" borderId="20" xfId="0" applyFont="1" applyFill="1" applyBorder="1" applyAlignment="1">
      <alignment horizontal="right" vertical="center" wrapText="1"/>
    </xf>
    <xf numFmtId="0" fontId="49" fillId="15" borderId="7" xfId="0" applyFont="1" applyFill="1" applyBorder="1" applyAlignment="1">
      <alignment horizontal="right" vertical="center" wrapText="1"/>
    </xf>
    <xf numFmtId="49" fontId="29" fillId="5" borderId="1" xfId="0" applyNumberFormat="1" applyFont="1" applyFill="1" applyBorder="1" applyAlignment="1">
      <alignment horizontal="center" vertical="center"/>
    </xf>
    <xf numFmtId="0" fontId="49" fillId="12" borderId="15" xfId="0" applyFont="1" applyFill="1" applyBorder="1" applyAlignment="1">
      <alignment horizontal="center" vertical="center" wrapText="1"/>
    </xf>
    <xf numFmtId="0" fontId="49" fillId="12" borderId="20" xfId="0" applyFont="1" applyFill="1" applyBorder="1" applyAlignment="1">
      <alignment horizontal="center" vertical="center" wrapText="1"/>
    </xf>
    <xf numFmtId="49" fontId="40" fillId="26" borderId="15" xfId="0" applyNumberFormat="1" applyFont="1" applyFill="1" applyBorder="1" applyAlignment="1">
      <alignment horizontal="center" vertical="center"/>
    </xf>
    <xf numFmtId="49" fontId="40" fillId="26" borderId="7" xfId="0" applyNumberFormat="1" applyFont="1" applyFill="1" applyBorder="1" applyAlignment="1">
      <alignment horizontal="center" vertical="center"/>
    </xf>
    <xf numFmtId="2" fontId="40" fillId="0" borderId="15" xfId="0" applyNumberFormat="1" applyFont="1" applyBorder="1" applyAlignment="1">
      <alignment horizontal="center" vertical="center"/>
    </xf>
    <xf numFmtId="2" fontId="40" fillId="0" borderId="7" xfId="0" applyNumberFormat="1" applyFont="1" applyBorder="1" applyAlignment="1">
      <alignment horizontal="center" vertical="center"/>
    </xf>
    <xf numFmtId="49" fontId="20" fillId="26" borderId="15" xfId="0" applyNumberFormat="1" applyFont="1" applyFill="1" applyBorder="1" applyAlignment="1">
      <alignment horizontal="left" vertical="center" wrapText="1"/>
    </xf>
    <xf numFmtId="49" fontId="20" fillId="26" borderId="20" xfId="0" applyNumberFormat="1" applyFont="1" applyFill="1" applyBorder="1" applyAlignment="1">
      <alignment horizontal="left" vertical="center"/>
    </xf>
    <xf numFmtId="49" fontId="20" fillId="26" borderId="7" xfId="0" applyNumberFormat="1" applyFont="1" applyFill="1" applyBorder="1" applyAlignment="1">
      <alignment horizontal="left" vertical="center"/>
    </xf>
    <xf numFmtId="49" fontId="39" fillId="0" borderId="15" xfId="0" applyNumberFormat="1" applyFont="1" applyBorder="1" applyAlignment="1">
      <alignment horizontal="left" vertical="center" wrapText="1"/>
    </xf>
    <xf numFmtId="49" fontId="39" fillId="0" borderId="20" xfId="0" applyNumberFormat="1" applyFont="1" applyBorder="1" applyAlignment="1">
      <alignment horizontal="left" vertical="center" wrapText="1"/>
    </xf>
    <xf numFmtId="49" fontId="39" fillId="0" borderId="7" xfId="0" applyNumberFormat="1" applyFont="1" applyBorder="1" applyAlignment="1">
      <alignment horizontal="left" vertical="center" wrapText="1"/>
    </xf>
    <xf numFmtId="49" fontId="39" fillId="0" borderId="15" xfId="0" applyNumberFormat="1" applyFont="1" applyBorder="1" applyAlignment="1">
      <alignment horizontal="left" vertical="center"/>
    </xf>
    <xf numFmtId="49" fontId="40" fillId="0" borderId="20" xfId="0" applyNumberFormat="1" applyFont="1" applyBorder="1" applyAlignment="1">
      <alignment horizontal="left" vertical="center"/>
    </xf>
    <xf numFmtId="49" fontId="40" fillId="0" borderId="7" xfId="0" applyNumberFormat="1" applyFont="1" applyBorder="1" applyAlignment="1">
      <alignment horizontal="left" vertical="center"/>
    </xf>
    <xf numFmtId="49" fontId="39" fillId="0" borderId="20" xfId="0" applyNumberFormat="1" applyFont="1" applyBorder="1" applyAlignment="1">
      <alignment horizontal="left" vertical="center"/>
    </xf>
    <xf numFmtId="49" fontId="39" fillId="0" borderId="7" xfId="0" applyNumberFormat="1" applyFont="1" applyBorder="1" applyAlignment="1">
      <alignment horizontal="left" vertical="center"/>
    </xf>
    <xf numFmtId="0" fontId="37" fillId="8" borderId="17" xfId="0" applyFont="1" applyFill="1" applyBorder="1" applyAlignment="1">
      <alignment horizontal="right" vertical="center" wrapText="1"/>
    </xf>
    <xf numFmtId="0" fontId="26" fillId="3" borderId="19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/>
    </xf>
    <xf numFmtId="49" fontId="26" fillId="0" borderId="14" xfId="0" applyNumberFormat="1" applyFont="1" applyBorder="1" applyAlignment="1">
      <alignment horizontal="left" vertical="top" wrapText="1"/>
    </xf>
    <xf numFmtId="49" fontId="38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29" fillId="7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5" fillId="18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15" fillId="9" borderId="15" xfId="0" applyFont="1" applyFill="1" applyBorder="1" applyAlignment="1">
      <alignment horizontal="center" vertical="center" wrapText="1"/>
    </xf>
    <xf numFmtId="0" fontId="15" fillId="9" borderId="7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14" fillId="10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1" fillId="0" borderId="29" xfId="24" applyFont="1" applyBorder="1" applyAlignment="1">
      <alignment horizontal="center" vertical="center" wrapText="1"/>
    </xf>
    <xf numFmtId="0" fontId="21" fillId="0" borderId="0" xfId="24" applyFont="1" applyBorder="1" applyAlignment="1">
      <alignment horizontal="center" vertical="center" wrapText="1"/>
    </xf>
    <xf numFmtId="4" fontId="51" fillId="0" borderId="0" xfId="24" applyNumberFormat="1" applyFont="1" applyBorder="1" applyAlignment="1">
      <alignment horizontal="center" vertical="center" wrapText="1"/>
    </xf>
    <xf numFmtId="0" fontId="21" fillId="0" borderId="33" xfId="24" applyFont="1" applyBorder="1" applyAlignment="1">
      <alignment horizontal="center" vertical="center" wrapText="1"/>
    </xf>
    <xf numFmtId="0" fontId="21" fillId="0" borderId="31" xfId="24" applyFont="1" applyBorder="1" applyAlignment="1">
      <alignment horizontal="center" vertical="center" wrapText="1"/>
    </xf>
    <xf numFmtId="0" fontId="21" fillId="0" borderId="34" xfId="24" applyFont="1" applyBorder="1" applyAlignment="1">
      <alignment horizontal="center" vertical="center" wrapText="1"/>
    </xf>
    <xf numFmtId="44" fontId="21" fillId="24" borderId="59" xfId="24" applyNumberFormat="1" applyFont="1" applyFill="1" applyBorder="1" applyAlignment="1">
      <alignment horizontal="left" vertical="center" wrapText="1"/>
    </xf>
    <xf numFmtId="0" fontId="21" fillId="24" borderId="62" xfId="24" applyFont="1" applyFill="1" applyBorder="1" applyAlignment="1">
      <alignment horizontal="left" vertical="center" wrapText="1"/>
    </xf>
    <xf numFmtId="0" fontId="21" fillId="16" borderId="0" xfId="24" applyFont="1" applyFill="1" applyBorder="1" applyAlignment="1">
      <alignment horizontal="center" vertical="center"/>
    </xf>
    <xf numFmtId="0" fontId="21" fillId="24" borderId="58" xfId="24" applyFont="1" applyFill="1" applyBorder="1" applyAlignment="1">
      <alignment horizontal="center" vertical="center" wrapText="1"/>
    </xf>
    <xf numFmtId="0" fontId="21" fillId="24" borderId="61" xfId="24" applyFont="1" applyFill="1" applyBorder="1" applyAlignment="1">
      <alignment horizontal="center" vertical="center" wrapText="1"/>
    </xf>
    <xf numFmtId="0" fontId="21" fillId="24" borderId="59" xfId="24" applyFont="1" applyFill="1" applyBorder="1" applyAlignment="1">
      <alignment horizontal="left" vertical="center" wrapText="1"/>
    </xf>
    <xf numFmtId="0" fontId="21" fillId="0" borderId="58" xfId="24" applyFont="1" applyBorder="1" applyAlignment="1">
      <alignment horizontal="center" vertical="center" wrapText="1"/>
    </xf>
    <xf numFmtId="0" fontId="21" fillId="0" borderId="61" xfId="24" applyFont="1" applyBorder="1" applyAlignment="1">
      <alignment horizontal="center" vertical="center" wrapText="1"/>
    </xf>
    <xf numFmtId="0" fontId="21" fillId="0" borderId="59" xfId="24" applyFont="1" applyBorder="1" applyAlignment="1">
      <alignment horizontal="left" vertical="center" wrapText="1"/>
    </xf>
    <xf numFmtId="0" fontId="21" fillId="0" borderId="62" xfId="24" applyFont="1" applyBorder="1" applyAlignment="1">
      <alignment horizontal="left" vertical="center" wrapText="1"/>
    </xf>
    <xf numFmtId="44" fontId="21" fillId="0" borderId="59" xfId="24" applyNumberFormat="1" applyFont="1" applyBorder="1" applyAlignment="1">
      <alignment horizontal="left" vertical="center" wrapText="1"/>
    </xf>
    <xf numFmtId="49" fontId="26" fillId="0" borderId="15" xfId="0" applyNumberFormat="1" applyFont="1" applyBorder="1" applyAlignment="1">
      <alignment horizontal="left" vertical="top" wrapText="1"/>
    </xf>
    <xf numFmtId="49" fontId="26" fillId="0" borderId="20" xfId="0" applyNumberFormat="1" applyFont="1" applyBorder="1" applyAlignment="1">
      <alignment horizontal="left" vertical="top" wrapText="1"/>
    </xf>
    <xf numFmtId="49" fontId="26" fillId="0" borderId="7" xfId="0" applyNumberFormat="1" applyFont="1" applyBorder="1" applyAlignment="1">
      <alignment horizontal="left" vertical="top" wrapText="1"/>
    </xf>
    <xf numFmtId="0" fontId="51" fillId="0" borderId="16" xfId="17" applyFont="1" applyBorder="1" applyAlignment="1">
      <alignment horizontal="center" vertical="center" wrapText="1"/>
    </xf>
    <xf numFmtId="0" fontId="51" fillId="0" borderId="26" xfId="17" applyFont="1" applyBorder="1" applyAlignment="1">
      <alignment horizontal="center" vertical="center" wrapText="1"/>
    </xf>
    <xf numFmtId="0" fontId="51" fillId="0" borderId="30" xfId="17" applyFont="1" applyBorder="1" applyAlignment="1">
      <alignment horizontal="center" vertical="center" wrapText="1"/>
    </xf>
    <xf numFmtId="0" fontId="51" fillId="0" borderId="29" xfId="17" applyFont="1" applyBorder="1" applyAlignment="1">
      <alignment horizontal="center" vertical="center" wrapText="1"/>
    </xf>
    <xf numFmtId="0" fontId="51" fillId="0" borderId="0" xfId="17" applyFont="1" applyBorder="1" applyAlignment="1">
      <alignment horizontal="center" vertical="center" wrapText="1"/>
    </xf>
    <xf numFmtId="0" fontId="51" fillId="0" borderId="33" xfId="17" applyFont="1" applyBorder="1" applyAlignment="1">
      <alignment horizontal="center" vertical="center" wrapText="1"/>
    </xf>
    <xf numFmtId="0" fontId="51" fillId="0" borderId="31" xfId="17" applyFont="1" applyBorder="1" applyAlignment="1">
      <alignment horizontal="center" vertical="center" wrapText="1"/>
    </xf>
    <xf numFmtId="0" fontId="51" fillId="0" borderId="32" xfId="17" applyFont="1" applyBorder="1" applyAlignment="1">
      <alignment horizontal="center" vertical="center" wrapText="1"/>
    </xf>
    <xf numFmtId="0" fontId="51" fillId="0" borderId="34" xfId="17" applyFont="1" applyBorder="1" applyAlignment="1">
      <alignment horizontal="center" vertical="center" wrapText="1"/>
    </xf>
    <xf numFmtId="0" fontId="52" fillId="20" borderId="15" xfId="24" applyFont="1" applyFill="1" applyBorder="1" applyAlignment="1">
      <alignment horizontal="center" vertical="center"/>
    </xf>
    <xf numFmtId="0" fontId="52" fillId="20" borderId="20" xfId="24" applyFont="1" applyFill="1" applyBorder="1" applyAlignment="1">
      <alignment horizontal="center" vertical="center"/>
    </xf>
    <xf numFmtId="0" fontId="52" fillId="20" borderId="7" xfId="24" applyFont="1" applyFill="1" applyBorder="1" applyAlignment="1">
      <alignment horizontal="center" vertical="center"/>
    </xf>
    <xf numFmtId="49" fontId="6" fillId="0" borderId="16" xfId="0" applyNumberFormat="1" applyFont="1" applyBorder="1" applyAlignment="1">
      <alignment horizontal="left" vertical="top" wrapText="1"/>
    </xf>
    <xf numFmtId="49" fontId="6" fillId="0" borderId="26" xfId="0" applyNumberFormat="1" applyFont="1" applyBorder="1" applyAlignment="1">
      <alignment horizontal="left" vertical="top" wrapText="1"/>
    </xf>
    <xf numFmtId="49" fontId="6" fillId="0" borderId="30" xfId="0" applyNumberFormat="1" applyFont="1" applyBorder="1" applyAlignment="1">
      <alignment horizontal="left" vertical="top" wrapText="1"/>
    </xf>
    <xf numFmtId="49" fontId="6" fillId="0" borderId="29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left" vertical="top" wrapText="1"/>
    </xf>
    <xf numFmtId="49" fontId="6" fillId="0" borderId="33" xfId="0" applyNumberFormat="1" applyFont="1" applyBorder="1" applyAlignment="1">
      <alignment horizontal="left" vertical="top" wrapText="1"/>
    </xf>
    <xf numFmtId="49" fontId="6" fillId="0" borderId="31" xfId="0" applyNumberFormat="1" applyFont="1" applyBorder="1" applyAlignment="1">
      <alignment horizontal="left" vertical="top" wrapText="1"/>
    </xf>
    <xf numFmtId="49" fontId="6" fillId="0" borderId="32" xfId="0" applyNumberFormat="1" applyFont="1" applyBorder="1" applyAlignment="1">
      <alignment horizontal="left" vertical="top" wrapText="1"/>
    </xf>
    <xf numFmtId="49" fontId="6" fillId="0" borderId="34" xfId="0" applyNumberFormat="1" applyFont="1" applyBorder="1" applyAlignment="1">
      <alignment horizontal="left" vertical="top" wrapText="1"/>
    </xf>
    <xf numFmtId="49" fontId="29" fillId="0" borderId="15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20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2" fontId="29" fillId="0" borderId="15" xfId="0" applyNumberFormat="1" applyFont="1" applyBorder="1" applyAlignment="1">
      <alignment horizontal="center" vertical="center"/>
    </xf>
    <xf numFmtId="2" fontId="29" fillId="0" borderId="20" xfId="0" applyNumberFormat="1" applyFont="1" applyBorder="1" applyAlignment="1">
      <alignment horizontal="center" vertical="center"/>
    </xf>
    <xf numFmtId="0" fontId="63" fillId="0" borderId="15" xfId="0" applyFont="1" applyBorder="1" applyAlignment="1">
      <alignment horizontal="left" vertical="center" wrapText="1"/>
    </xf>
    <xf numFmtId="0" fontId="63" fillId="0" borderId="20" xfId="0" applyFont="1" applyBorder="1" applyAlignment="1">
      <alignment horizontal="left" vertical="center" wrapText="1"/>
    </xf>
    <xf numFmtId="0" fontId="63" fillId="0" borderId="7" xfId="0" applyFont="1" applyBorder="1" applyAlignment="1">
      <alignment horizontal="left" vertical="center" wrapText="1"/>
    </xf>
    <xf numFmtId="0" fontId="55" fillId="0" borderId="0" xfId="24" applyFont="1" applyAlignment="1">
      <alignment horizontal="center" vertical="center" wrapText="1"/>
    </xf>
    <xf numFmtId="0" fontId="55" fillId="0" borderId="0" xfId="24" applyFont="1" applyBorder="1" applyAlignment="1">
      <alignment horizontal="center" vertical="center" wrapText="1"/>
    </xf>
    <xf numFmtId="4" fontId="58" fillId="0" borderId="0" xfId="24" applyNumberFormat="1" applyFont="1" applyBorder="1" applyAlignment="1">
      <alignment horizontal="center" vertical="center" wrapText="1"/>
    </xf>
    <xf numFmtId="4" fontId="58" fillId="0" borderId="0" xfId="24" applyNumberFormat="1" applyFont="1" applyAlignment="1">
      <alignment horizontal="center" vertical="center" wrapText="1"/>
    </xf>
    <xf numFmtId="0" fontId="55" fillId="0" borderId="33" xfId="24" applyFont="1" applyBorder="1" applyAlignment="1">
      <alignment horizontal="center" vertical="center" wrapText="1"/>
    </xf>
    <xf numFmtId="49" fontId="23" fillId="0" borderId="15" xfId="0" applyNumberFormat="1" applyFont="1" applyBorder="1" applyAlignment="1">
      <alignment horizontal="left" vertical="center"/>
    </xf>
    <xf numFmtId="49" fontId="23" fillId="0" borderId="20" xfId="0" applyNumberFormat="1" applyFont="1" applyBorder="1" applyAlignment="1">
      <alignment horizontal="left" vertical="center"/>
    </xf>
    <xf numFmtId="49" fontId="23" fillId="0" borderId="7" xfId="0" applyNumberFormat="1" applyFont="1" applyBorder="1" applyAlignment="1">
      <alignment horizontal="left" vertical="center"/>
    </xf>
    <xf numFmtId="49" fontId="5" fillId="0" borderId="16" xfId="0" applyNumberFormat="1" applyFont="1" applyBorder="1" applyAlignment="1">
      <alignment horizontal="left" vertical="center" wrapText="1"/>
    </xf>
    <xf numFmtId="49" fontId="5" fillId="0" borderId="26" xfId="0" applyNumberFormat="1" applyFont="1" applyBorder="1" applyAlignment="1">
      <alignment horizontal="left" vertical="center" wrapText="1"/>
    </xf>
    <xf numFmtId="49" fontId="5" fillId="0" borderId="30" xfId="0" applyNumberFormat="1" applyFont="1" applyBorder="1" applyAlignment="1">
      <alignment horizontal="left" vertical="center" wrapText="1"/>
    </xf>
    <xf numFmtId="49" fontId="5" fillId="0" borderId="29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5" fillId="0" borderId="33" xfId="0" applyNumberFormat="1" applyFont="1" applyBorder="1" applyAlignment="1">
      <alignment horizontal="left" vertical="center" wrapText="1"/>
    </xf>
    <xf numFmtId="49" fontId="5" fillId="0" borderId="31" xfId="0" applyNumberFormat="1" applyFont="1" applyBorder="1" applyAlignment="1">
      <alignment horizontal="left" vertical="center" wrapText="1"/>
    </xf>
    <xf numFmtId="49" fontId="5" fillId="0" borderId="32" xfId="0" applyNumberFormat="1" applyFont="1" applyBorder="1" applyAlignment="1">
      <alignment horizontal="left" vertical="center" wrapText="1"/>
    </xf>
    <xf numFmtId="49" fontId="5" fillId="0" borderId="34" xfId="0" applyNumberFormat="1" applyFont="1" applyBorder="1" applyAlignment="1">
      <alignment horizontal="left" vertical="center" wrapText="1"/>
    </xf>
    <xf numFmtId="0" fontId="55" fillId="24" borderId="58" xfId="24" applyFont="1" applyFill="1" applyBorder="1" applyAlignment="1">
      <alignment horizontal="center" vertical="center" wrapText="1"/>
    </xf>
    <xf numFmtId="0" fontId="55" fillId="24" borderId="61" xfId="24" applyFont="1" applyFill="1" applyBorder="1" applyAlignment="1">
      <alignment horizontal="center" vertical="center" wrapText="1"/>
    </xf>
    <xf numFmtId="0" fontId="55" fillId="24" borderId="59" xfId="24" applyFont="1" applyFill="1" applyBorder="1" applyAlignment="1">
      <alignment horizontal="left" vertical="center" wrapText="1"/>
    </xf>
    <xf numFmtId="0" fontId="55" fillId="24" borderId="62" xfId="24" applyFont="1" applyFill="1" applyBorder="1" applyAlignment="1">
      <alignment horizontal="left" vertical="center" wrapText="1"/>
    </xf>
    <xf numFmtId="44" fontId="55" fillId="24" borderId="59" xfId="24" applyNumberFormat="1" applyFont="1" applyFill="1" applyBorder="1" applyAlignment="1">
      <alignment horizontal="left" vertical="center" wrapText="1"/>
    </xf>
    <xf numFmtId="0" fontId="55" fillId="0" borderId="58" xfId="24" applyFont="1" applyBorder="1" applyAlignment="1">
      <alignment horizontal="center" vertical="center" wrapText="1"/>
    </xf>
    <xf numFmtId="0" fontId="55" fillId="0" borderId="61" xfId="24" applyFont="1" applyBorder="1" applyAlignment="1">
      <alignment horizontal="center" vertical="center" wrapText="1"/>
    </xf>
    <xf numFmtId="0" fontId="55" fillId="0" borderId="59" xfId="24" applyFont="1" applyBorder="1" applyAlignment="1">
      <alignment horizontal="left" vertical="center" wrapText="1"/>
    </xf>
    <xf numFmtId="0" fontId="55" fillId="0" borderId="62" xfId="24" applyFont="1" applyBorder="1" applyAlignment="1">
      <alignment horizontal="left" vertical="center" wrapText="1"/>
    </xf>
    <xf numFmtId="44" fontId="55" fillId="0" borderId="59" xfId="24" applyNumberFormat="1" applyFont="1" applyBorder="1" applyAlignment="1">
      <alignment horizontal="left" vertical="center" wrapText="1"/>
    </xf>
    <xf numFmtId="0" fontId="55" fillId="16" borderId="0" xfId="24" applyFont="1" applyFill="1" applyAlignment="1">
      <alignment horizontal="center" vertical="center"/>
    </xf>
    <xf numFmtId="49" fontId="23" fillId="0" borderId="15" xfId="0" applyNumberFormat="1" applyFont="1" applyBorder="1" applyAlignment="1">
      <alignment horizontal="left" vertical="center" wrapText="1"/>
    </xf>
    <xf numFmtId="49" fontId="23" fillId="0" borderId="20" xfId="0" applyNumberFormat="1" applyFont="1" applyBorder="1" applyAlignment="1">
      <alignment horizontal="left" vertical="center" wrapText="1"/>
    </xf>
    <xf numFmtId="49" fontId="23" fillId="0" borderId="7" xfId="0" applyNumberFormat="1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left" vertical="center"/>
    </xf>
  </cellXfs>
  <cellStyles count="56">
    <cellStyle name="Comma0" xfId="4" xr:uid="{00000000-0005-0000-0000-000006000000}"/>
    <cellStyle name="Currency0" xfId="5" xr:uid="{00000000-0005-0000-0000-000007000000}"/>
    <cellStyle name="Euro" xfId="6" xr:uid="{00000000-0005-0000-0000-000008000000}"/>
    <cellStyle name="Hiperlink" xfId="3" builtinId="8"/>
    <cellStyle name="Hyperlink 2" xfId="7" xr:uid="{00000000-0005-0000-0000-000009000000}"/>
    <cellStyle name="Moeda" xfId="1" builtinId="4"/>
    <cellStyle name="Moeda 2" xfId="8" xr:uid="{00000000-0005-0000-0000-00000A000000}"/>
    <cellStyle name="Moeda 2 2" xfId="9" xr:uid="{00000000-0005-0000-0000-00000B000000}"/>
    <cellStyle name="Moeda 2 2 2" xfId="10" xr:uid="{00000000-0005-0000-0000-00000C000000}"/>
    <cellStyle name="Moeda 2 3" xfId="11" xr:uid="{00000000-0005-0000-0000-00000D000000}"/>
    <cellStyle name="Moeda 3" xfId="12" xr:uid="{00000000-0005-0000-0000-00000E000000}"/>
    <cellStyle name="Moeda 4" xfId="13" xr:uid="{00000000-0005-0000-0000-00000F000000}"/>
    <cellStyle name="Moeda 4 2" xfId="14" xr:uid="{00000000-0005-0000-0000-000010000000}"/>
    <cellStyle name="Normal" xfId="0" builtinId="0"/>
    <cellStyle name="Normal 10" xfId="15" xr:uid="{00000000-0005-0000-0000-000011000000}"/>
    <cellStyle name="Normal 10 2" xfId="16" xr:uid="{00000000-0005-0000-0000-000012000000}"/>
    <cellStyle name="Normal 2" xfId="17" xr:uid="{00000000-0005-0000-0000-000013000000}"/>
    <cellStyle name="Normal 2 2" xfId="18" xr:uid="{00000000-0005-0000-0000-000014000000}"/>
    <cellStyle name="Normal 2 2 2" xfId="19" xr:uid="{00000000-0005-0000-0000-000015000000}"/>
    <cellStyle name="Normal 2 3" xfId="20" xr:uid="{00000000-0005-0000-0000-000016000000}"/>
    <cellStyle name="Normal 2 4" xfId="21" xr:uid="{00000000-0005-0000-0000-000017000000}"/>
    <cellStyle name="Normal 2_SANTA CRUZ - SALAS DE DANÇA E QUADRAS  -   01 JULHO 2010" xfId="22" xr:uid="{00000000-0005-0000-0000-000018000000}"/>
    <cellStyle name="Normal 3" xfId="23" xr:uid="{00000000-0005-0000-0000-000019000000}"/>
    <cellStyle name="Normal 3 2" xfId="24" xr:uid="{00000000-0005-0000-0000-00001A000000}"/>
    <cellStyle name="Normal 3 2 2" xfId="25" xr:uid="{00000000-0005-0000-0000-00001B000000}"/>
    <cellStyle name="Normal 4" xfId="26" xr:uid="{00000000-0005-0000-0000-00001C000000}"/>
    <cellStyle name="Normal 5" xfId="27" xr:uid="{00000000-0005-0000-0000-00001D000000}"/>
    <cellStyle name="Normal 7" xfId="28" xr:uid="{00000000-0005-0000-0000-00001E000000}"/>
    <cellStyle name="Normal 8" xfId="29" xr:uid="{00000000-0005-0000-0000-00001F000000}"/>
    <cellStyle name="Porcentagem" xfId="2" builtinId="5"/>
    <cellStyle name="Porcentagem 2" xfId="30" xr:uid="{00000000-0005-0000-0000-000020000000}"/>
    <cellStyle name="Porcentagem 2 2" xfId="31" xr:uid="{00000000-0005-0000-0000-000021000000}"/>
    <cellStyle name="Porcentagem 2 2 2" xfId="32" xr:uid="{00000000-0005-0000-0000-000022000000}"/>
    <cellStyle name="Porcentagem 2 3" xfId="33" xr:uid="{00000000-0005-0000-0000-000023000000}"/>
    <cellStyle name="Porcentagem 3" xfId="34" xr:uid="{00000000-0005-0000-0000-000024000000}"/>
    <cellStyle name="ric" xfId="35" xr:uid="{00000000-0005-0000-0000-000025000000}"/>
    <cellStyle name="Separador de milhares 2" xfId="36" xr:uid="{00000000-0005-0000-0000-000026000000}"/>
    <cellStyle name="Separador de milhares 2 2" xfId="37" xr:uid="{00000000-0005-0000-0000-000027000000}"/>
    <cellStyle name="Separador de milhares 2 2 2" xfId="38" xr:uid="{00000000-0005-0000-0000-000028000000}"/>
    <cellStyle name="Separador de milhares 2 3" xfId="39" xr:uid="{00000000-0005-0000-0000-000029000000}"/>
    <cellStyle name="Separador de milhares 2 4" xfId="40" xr:uid="{00000000-0005-0000-0000-00002A000000}"/>
    <cellStyle name="Separador de milhares 2 5" xfId="41" xr:uid="{00000000-0005-0000-0000-00002B000000}"/>
    <cellStyle name="Separador de milhares 2 5 2" xfId="42" xr:uid="{00000000-0005-0000-0000-00002C000000}"/>
    <cellStyle name="Separador de milhares 2 6" xfId="43" xr:uid="{00000000-0005-0000-0000-00002D000000}"/>
    <cellStyle name="Separador de milhares 3" xfId="44" xr:uid="{00000000-0005-0000-0000-00002E000000}"/>
    <cellStyle name="Separador de milhares 4" xfId="45" xr:uid="{00000000-0005-0000-0000-00002F000000}"/>
    <cellStyle name="Separador de milhares 5" xfId="46" xr:uid="{00000000-0005-0000-0000-000030000000}"/>
    <cellStyle name="Vírgula" xfId="55" builtinId="3"/>
    <cellStyle name="Vírgula 2" xfId="47" xr:uid="{00000000-0005-0000-0000-000031000000}"/>
    <cellStyle name="Vírgula 2 2" xfId="48" xr:uid="{00000000-0005-0000-0000-000032000000}"/>
    <cellStyle name="Vírgula 2 2 2" xfId="49" xr:uid="{00000000-0005-0000-0000-000033000000}"/>
    <cellStyle name="Vírgula 2 3" xfId="50" xr:uid="{00000000-0005-0000-0000-000034000000}"/>
    <cellStyle name="Vírgula 2 4" xfId="51" xr:uid="{00000000-0005-0000-0000-000035000000}"/>
    <cellStyle name="Vírgula 3" xfId="52" xr:uid="{00000000-0005-0000-0000-000036000000}"/>
    <cellStyle name="Vírgula 4" xfId="53" xr:uid="{00000000-0005-0000-0000-000037000000}"/>
    <cellStyle name="Vírgula 4 2" xfId="54" xr:uid="{00000000-0005-0000-0000-000038000000}"/>
  </cellStyles>
  <dxfs count="20"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2F2F2"/>
      <rgbColor rgb="FFEFEFEF"/>
      <rgbColor rgb="FF660066"/>
      <rgbColor rgb="FFFF8080"/>
      <rgbColor rgb="FF0070C0"/>
      <rgbColor rgb="FFD6D6D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7E4BD"/>
      <rgbColor rgb="FFDFF0D8"/>
      <rgbColor rgb="FFFFFF99"/>
      <rgbColor rgb="FFBFBFBF"/>
      <rgbColor rgb="FFFF99CC"/>
      <rgbColor rgb="FFCCCCCC"/>
      <rgbColor rgb="FFD9D9D9"/>
      <rgbColor rgb="FF3366FF"/>
      <rgbColor rgb="FF33CCCC"/>
      <rgbColor rgb="FF99CC00"/>
      <rgbColor rgb="FFFFCC00"/>
      <rgbColor rgb="FFFF9900"/>
      <rgbColor rgb="FFFF55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3363737</xdr:colOff>
      <xdr:row>0</xdr:row>
      <xdr:rowOff>45882</xdr:rowOff>
    </xdr:from>
    <xdr:to>
      <xdr:col>3</xdr:col>
      <xdr:colOff>4220177</xdr:colOff>
      <xdr:row>2</xdr:row>
      <xdr:rowOff>484852</xdr:rowOff>
    </xdr:to>
    <xdr:pic>
      <xdr:nvPicPr>
        <xdr:cNvPr id="2" name="Imagem 1_0" descr="Timbre">
          <a:extLst>
            <a:ext uri="{FF2B5EF4-FFF2-40B4-BE49-F238E27FC236}">
              <a16:creationId xmlns:a16="http://schemas.microsoft.com/office/drawing/2014/main" id="{0CF7E9AD-9033-45C1-A853-7E2F80FF7D4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68712" y="45882"/>
          <a:ext cx="853265" cy="8136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658325</xdr:colOff>
      <xdr:row>0</xdr:row>
      <xdr:rowOff>91349</xdr:rowOff>
    </xdr:from>
    <xdr:to>
      <xdr:col>4</xdr:col>
      <xdr:colOff>512445</xdr:colOff>
      <xdr:row>2</xdr:row>
      <xdr:rowOff>507509</xdr:rowOff>
    </xdr:to>
    <xdr:pic>
      <xdr:nvPicPr>
        <xdr:cNvPr id="2" name="Imagem 2" descr="Timb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271738" y="91349"/>
          <a:ext cx="848033" cy="81372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4226780</xdr:colOff>
      <xdr:row>0</xdr:row>
      <xdr:rowOff>65715</xdr:rowOff>
    </xdr:from>
    <xdr:to>
      <xdr:col>5</xdr:col>
      <xdr:colOff>292145</xdr:colOff>
      <xdr:row>2</xdr:row>
      <xdr:rowOff>460235</xdr:rowOff>
    </xdr:to>
    <xdr:pic>
      <xdr:nvPicPr>
        <xdr:cNvPr id="2" name="Imagem 1_0" descr="Timbre">
          <a:extLst>
            <a:ext uri="{FF2B5EF4-FFF2-40B4-BE49-F238E27FC236}">
              <a16:creationId xmlns:a16="http://schemas.microsoft.com/office/drawing/2014/main" id="{72AF4E11-7C60-4249-9EFD-853D6FDC7FB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836505" y="65715"/>
          <a:ext cx="859615" cy="8136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3622553</xdr:colOff>
      <xdr:row>0</xdr:row>
      <xdr:rowOff>14258</xdr:rowOff>
    </xdr:from>
    <xdr:to>
      <xdr:col>3</xdr:col>
      <xdr:colOff>4464343</xdr:colOff>
      <xdr:row>2</xdr:row>
      <xdr:rowOff>430418</xdr:rowOff>
    </xdr:to>
    <xdr:pic>
      <xdr:nvPicPr>
        <xdr:cNvPr id="2" name="Imagem 2" descr="Timbre">
          <a:extLst>
            <a:ext uri="{FF2B5EF4-FFF2-40B4-BE49-F238E27FC236}">
              <a16:creationId xmlns:a16="http://schemas.microsoft.com/office/drawing/2014/main" id="{82924C78-87CD-4274-8502-806378D584A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32303" y="14258"/>
          <a:ext cx="848140" cy="811814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2944080</xdr:colOff>
      <xdr:row>0</xdr:row>
      <xdr:rowOff>75240</xdr:rowOff>
    </xdr:from>
    <xdr:to>
      <xdr:col>3</xdr:col>
      <xdr:colOff>3797345</xdr:colOff>
      <xdr:row>2</xdr:row>
      <xdr:rowOff>523735</xdr:rowOff>
    </xdr:to>
    <xdr:pic>
      <xdr:nvPicPr>
        <xdr:cNvPr id="2" name="Imagem 1_0" descr="Timb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347720" y="75240"/>
          <a:ext cx="856440" cy="813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3067560</xdr:colOff>
      <xdr:row>0</xdr:row>
      <xdr:rowOff>38880</xdr:rowOff>
    </xdr:from>
    <xdr:to>
      <xdr:col>1</xdr:col>
      <xdr:colOff>496440</xdr:colOff>
      <xdr:row>0</xdr:row>
      <xdr:rowOff>850680</xdr:rowOff>
    </xdr:to>
    <xdr:pic>
      <xdr:nvPicPr>
        <xdr:cNvPr id="2" name="Imagem 1_1" descr="Timbre">
          <a:extLst>
            <a:ext uri="{FF2B5EF4-FFF2-40B4-BE49-F238E27FC236}">
              <a16:creationId xmlns:a16="http://schemas.microsoft.com/office/drawing/2014/main" id="{E21DA293-1C68-4703-AFF9-EACAB9CFF1D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067560" y="38880"/>
          <a:ext cx="819780" cy="81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1009650</xdr:colOff>
      <xdr:row>16</xdr:row>
      <xdr:rowOff>114300</xdr:rowOff>
    </xdr:from>
    <xdr:to>
      <xdr:col>2</xdr:col>
      <xdr:colOff>787635</xdr:colOff>
      <xdr:row>16</xdr:row>
      <xdr:rowOff>495319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AFB6C42-7F37-4FC3-A5AE-0E4D65C6A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6800850"/>
          <a:ext cx="4581760" cy="3810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607499</xdr:colOff>
      <xdr:row>0</xdr:row>
      <xdr:rowOff>55450</xdr:rowOff>
    </xdr:from>
    <xdr:to>
      <xdr:col>7</xdr:col>
      <xdr:colOff>685598</xdr:colOff>
      <xdr:row>4</xdr:row>
      <xdr:rowOff>1743</xdr:rowOff>
    </xdr:to>
    <xdr:pic>
      <xdr:nvPicPr>
        <xdr:cNvPr id="7" name="Imagem 1_0" descr="Timbre">
          <a:extLst>
            <a:ext uri="{FF2B5EF4-FFF2-40B4-BE49-F238E27FC236}">
              <a16:creationId xmlns:a16="http://schemas.microsoft.com/office/drawing/2014/main" id="{0A0A9098-4153-4E28-9497-E2D71D98D4B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265349" y="55450"/>
          <a:ext cx="862462" cy="803543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1021629</xdr:colOff>
      <xdr:row>0</xdr:row>
      <xdr:rowOff>55450</xdr:rowOff>
    </xdr:from>
    <xdr:ext cx="864947" cy="799402"/>
    <xdr:pic>
      <xdr:nvPicPr>
        <xdr:cNvPr id="3" name="Imagem 1_0" descr="Timbre">
          <a:extLst>
            <a:ext uri="{FF2B5EF4-FFF2-40B4-BE49-F238E27FC236}">
              <a16:creationId xmlns:a16="http://schemas.microsoft.com/office/drawing/2014/main" id="{38FDDD08-5915-4D1B-A0D7-1A9C6380A35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59281" y="55450"/>
          <a:ext cx="864947" cy="799402"/>
        </a:xfrm>
        <a:prstGeom prst="rect">
          <a:avLst/>
        </a:prstGeom>
        <a:ln w="0"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ndeilson.wga\Documents\APF%20-%20WANDEILSON\PESSOAL\Outubro_2021\SINAPI_Preco_Ref_Insumos_DF_202112_Desonera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ndeilson.wga\Documents\APF%20-%20WANDEILSON\PESSOAL\Outubro_2021\SINAPI_Custo_Ref_Composicoes_Sintetico_DF_202112_Desonera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ejamento_Contrata&#231;&#227;o_ICOMBATE%20INC&#202;NDIO%20E%20BRIGADISTAS/AEDI_SELOG_DITEC_DPF_2022/2022/1_Planejamento_Contrata&#231;&#227;o_Combate_Inc&#234;ndio/3%20-%20PLANILHA%20-%20ESTIMATIVA%20DE%20CUSTO/Cronograma_F&#237;sico_Financeir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80">
          <cell r="A580">
            <v>737</v>
          </cell>
          <cell r="B580" t="str">
            <v xml:space="preserve">BOMBA CENTRIFUGA MOTOR ELETRICO TRIFASICO 14,8 HP, DIAMETRO DE SUCCAO X ELEVACAO 2 1/2" X 2", DIAMETRO DO ROTOR 195 MM, HM/Q: 62 M / 55,5 M3/H A 80 M / 31,50 M3/H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580" t="str">
            <v>8.095,85</v>
          </cell>
        </row>
        <row r="581">
          <cell r="B581" t="str">
            <v xml:space="preserve">BOMBA CENTRIFUGA MOTOR ELETRICO TRIFASICO 5HP, DIAMETRO DE SUCCAO X ELEVACAO 2" X 1 1/2", DIAMETRO DO ROTOR 155 MM, HM/Q: 40 M / 20,40 M3/H A 46 M / 9,20 M3/H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581" t="str">
            <v>3.753,99</v>
          </cell>
        </row>
        <row r="2229">
          <cell r="B2229" t="str">
            <v xml:space="preserve">FITA ISOLANTE ADESIVA ANTICHAMA, USO ATE 750 V, EM ROLO DE 19 MM X 20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29" t="str">
            <v>9,46</v>
          </cell>
        </row>
        <row r="2230">
          <cell r="B2230" t="str">
            <v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30" t="str">
            <v>3,57</v>
          </cell>
        </row>
        <row r="2236">
          <cell r="B2236" t="str">
            <v xml:space="preserve">FITA VEDA ROSCA EM ROLOS DE 18 MM X 10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36" t="str">
            <v>3,71</v>
          </cell>
        </row>
        <row r="2251">
          <cell r="B2251" t="str">
            <v xml:space="preserve">FLANGE SEXTAVADO DE FERRO GALVANIZADO, COM ROSCA BSP, DE 1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51" t="str">
            <v>47,45</v>
          </cell>
        </row>
        <row r="2252">
          <cell r="B2252" t="str">
            <v xml:space="preserve">FLANGE SEXTAVADO DE FERRO GALVANIZADO, COM ROSCA BSP, DE 1 1/4"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52" t="str">
            <v>37,70</v>
          </cell>
        </row>
        <row r="2253">
          <cell r="B2253" t="str">
            <v xml:space="preserve">FLANGE SEXTAVADO DE FERRO GALVANIZADO, COM ROSCA BSP, DE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53" t="str">
            <v>16,50</v>
          </cell>
        </row>
        <row r="2254">
          <cell r="B2254" t="str">
            <v xml:space="preserve">FLANGE SEXTAVADO DE FERRO GALVANIZADO, COM ROSCA BSP, DE 1"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54" t="str">
            <v>27,11</v>
          </cell>
        </row>
        <row r="2255">
          <cell r="B2255" t="str">
            <v xml:space="preserve">FLANGE SEXTAVADO DE FERRO GALVANIZADO, COM ROSCA BSP, DE 2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55" t="str">
            <v>88,54</v>
          </cell>
        </row>
        <row r="2256">
          <cell r="B2256" t="str">
            <v xml:space="preserve">FLANGE SEXTAVADO DE FERRO GALVANIZADO, COM ROSCA BSP, DE 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56" t="str">
            <v>56,33</v>
          </cell>
        </row>
        <row r="2257">
          <cell r="B2257" t="str">
            <v xml:space="preserve">FLANGE SEXTAVADO DE FERRO GALVANIZADO, COM ROSCA BSP, DE 3/4"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57" t="str">
            <v>22,54</v>
          </cell>
        </row>
        <row r="2258">
          <cell r="B2258" t="str">
            <v xml:space="preserve">FLANGE SEXTAVADO DE FERRO GALVANIZADO, COM ROSCA BSP, DE 3"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58" t="str">
            <v>119,71</v>
          </cell>
        </row>
        <row r="2259">
          <cell r="B2259" t="str">
            <v xml:space="preserve">FLANGE SEXTAVADO DE FERRO GALVANIZADO, COM ROSCA BSP, DE 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59" t="str">
            <v>176,98</v>
          </cell>
        </row>
        <row r="2260">
          <cell r="B2260" t="str">
            <v xml:space="preserve">FLANGE SEXTAVADO DE FERRO GALVANIZADO, COM ROSCA BSP, DE 6"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60" t="str">
            <v>297,34</v>
          </cell>
        </row>
        <row r="2410">
          <cell r="B2410" t="str">
            <v xml:space="preserve">HIDRANTE DE COLUNA COMPLETO, EM FERRO FUNDIDO, DN = 100 MM, COM REGISTRO, CUNHA DE BORRACHA, CURVA DESSIMETRICA, EXTREMIDADE E TAMPAS (INCLUI KIT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410" t="str">
            <v>5.240,00</v>
          </cell>
        </row>
        <row r="2411">
          <cell r="B2411" t="str">
            <v xml:space="preserve">HIDRANTE DE COLUNA COMPLETO, EM FERRO FUNDIDO, DN = 75 MM, COM REGISTRO, CUNHA DE BORRACHA, CURVA DESSIMETRICA, EXTREMIDADE E TAMPAS (INCLUI KIT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411" t="str">
            <v>4.746,26</v>
          </cell>
        </row>
        <row r="2412">
          <cell r="B2412" t="str">
            <v xml:space="preserve">HIDRANTE SUBTERRANEO, EM FERRO FUNDIDO, COM CURVA CURTA E CAIXA, DN 75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412" t="str">
            <v>2.805,24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null"/>
    </sheetNames>
    <sheetDataSet>
      <sheetData sheetId="0">
        <row r="2746">
          <cell r="H2746" t="str">
            <v>ELETRODUTO RÍGIDO SOLDÁVEL, PVC, DN 25 MM (3/4), APARENTE, INSTALADO EM TETO - FORNECIMENTO E INSTALAÇÃO. AF_11/2016_P</v>
          </cell>
          <cell r="K2746" t="str">
            <v>7,42</v>
          </cell>
        </row>
        <row r="2747">
          <cell r="H2747" t="str">
            <v>ELETRODUTO RÍGIDO SOLDÁVEL, PVC, DN 32 MM (1), APARENTE, INSTALADO EM TETO - FORNECIMENTO E INSTALAÇÃO. AF_11/2016_P</v>
          </cell>
          <cell r="K2747" t="str">
            <v>9,55</v>
          </cell>
        </row>
        <row r="2748">
          <cell r="H2748" t="str">
            <v>ELETRODUTO RÍGIDO SOLDÁVEL, PVC, DN 20 MM (½), APARENTE, INSTALADO EM PAREDE - FORNECIMENTO E INSTALAÇÃO. AF_11/2016_P</v>
          </cell>
          <cell r="K2748" t="str">
            <v>8,20</v>
          </cell>
        </row>
        <row r="2749">
          <cell r="H2749" t="str">
            <v>ELETRODUTO RÍGIDO SOLDÁVEL, PVC, DN 25 MM (3/4), APARENTE, INSTALADO EM PAREDE - FORNECIMENTO E INSTALAÇÃO. AF_11/2016_P</v>
          </cell>
          <cell r="K2749" t="str">
            <v>9,16</v>
          </cell>
        </row>
        <row r="2750">
          <cell r="H2750" t="str">
            <v>ELETRODUTO RÍGIDO SOLDÁVEL, PVC, DN 32 MM (1), APARENTE, INSTALADO EM PAREDE - FORNECIMENTO E INSTALAÇÃO. AF_11/2016_P</v>
          </cell>
          <cell r="K2750" t="str">
            <v>11,29</v>
          </cell>
        </row>
        <row r="2752">
          <cell r="H2752" t="str">
            <v>ELETRODUTO DE AÇO GALVANIZADO, CLASSE LEVE, DN 20 MM (3/4), APARENTE, INSTALADO EM TETO - FORNECIMENTO E INSTALAÇÃO. AF_11/2016_P</v>
          </cell>
          <cell r="K2752" t="str">
            <v>22,29</v>
          </cell>
        </row>
        <row r="2753">
          <cell r="G2753" t="str">
            <v>95746</v>
          </cell>
          <cell r="H2753" t="str">
            <v>ELETRODUTO DE AÇO GALVANIZADO, CLASSE LEVE, DN 25 MM (1), APARENTE, INSTALADO EM TETO - FORNECIMENTO E INSTALAÇÃO. AF_11/2016_P</v>
          </cell>
          <cell r="K2753" t="str">
            <v>27,78</v>
          </cell>
        </row>
        <row r="2826">
          <cell r="H2826" t="str">
            <v>CABO DE COBRE FLEXÍVEL ISOLADO, 1,5 MM², ANTI-CHAMA 450/750 V, PARA CIRCUITOS TERMINAIS - FORNECIMENTO E INSTALAÇÃO. AF_12/2015</v>
          </cell>
          <cell r="K2826" t="str">
            <v>2,85</v>
          </cell>
        </row>
        <row r="2828">
          <cell r="H2828" t="str">
            <v>CABO DE COBRE FLEXÍVEL ISOLADO, 2,5 MM², ANTI-CHAMA 450/750 V, PARA CIRCUITOS TERMINAIS - FORNECIMENTO E INSTALAÇÃO. AF_12/2015</v>
          </cell>
          <cell r="K2828" t="str">
            <v>4,20</v>
          </cell>
        </row>
        <row r="2830">
          <cell r="H2830" t="str">
            <v>CABO DE COBRE FLEXÍVEL ISOLADO, 4 MM², ANTI-CHAMA 450/750 V, PARA CIRCUITOS TERMINAIS - FORNECIMENTO E INSTALAÇÃO. AF_12/2015</v>
          </cell>
          <cell r="K2830" t="str">
            <v>6,94</v>
          </cell>
        </row>
        <row r="2832">
          <cell r="H2832" t="str">
            <v>CABO DE COBRE FLEXÍVEL ISOLADO, 6 MM², ANTI-CHAMA 450/750 V, PARA CIRCUITOS TERMINAIS - FORNECIMENTO E INSTALAÇÃO. AF_12/2015</v>
          </cell>
          <cell r="K2832" t="str">
            <v>9,53</v>
          </cell>
        </row>
        <row r="2834">
          <cell r="H2834" t="str">
            <v>CABO DE COBRE FLEXÍVEL ISOLADO, 10 MM², ANTI-CHAMA 450/750 V, PARA CIRCUITOS TERMINAIS - FORNECIMENTO E INSTALAÇÃO. AF_12/2015</v>
          </cell>
          <cell r="K2834" t="str">
            <v>15,80</v>
          </cell>
        </row>
        <row r="2919">
          <cell r="H2919" t="str">
            <v>DISJUNTOR MONOPOLAR TIPO DIN, CORRENTE NOMINAL DE 10A - FORNECIMENTO E INSTALAÇÃO. AF_10/2020</v>
          </cell>
          <cell r="K2919" t="str">
            <v>12,60</v>
          </cell>
        </row>
        <row r="2920">
          <cell r="H2920" t="str">
            <v>DISJUNTOR MONOPOLAR TIPO DIN, CORRENTE NOMINAL DE 16A - FORNECIMENTO E INSTALAÇÃO. AF_10/2020</v>
          </cell>
          <cell r="K2920" t="str">
            <v>13,11</v>
          </cell>
        </row>
        <row r="2921">
          <cell r="H2921" t="str">
            <v>DISJUNTOR MONOPOLAR TIPO DIN, CORRENTE NOMINAL DE 20A - FORNECIMENTO E INSTALAÇÃO. AF_10/2020</v>
          </cell>
          <cell r="K2921" t="str">
            <v>14,15</v>
          </cell>
        </row>
        <row r="2922">
          <cell r="H2922" t="str">
            <v>DISJUNTOR MONOPOLAR TIPO DIN, CORRENTE NOMINAL DE 25A - FORNECIMENTO E INSTALAÇÃO. AF_10/2020</v>
          </cell>
          <cell r="K2922" t="str">
            <v>14,15</v>
          </cell>
        </row>
        <row r="2923">
          <cell r="H2923" t="str">
            <v>DISJUNTOR MONOPOLAR TIPO DIN, CORRENTE NOMINAL DE 32A - FORNECIMENTO E INSTALAÇÃO. AF_10/2020</v>
          </cell>
          <cell r="K2923" t="str">
            <v>15,39</v>
          </cell>
        </row>
        <row r="2924">
          <cell r="H2924" t="str">
            <v>DISJUNTOR MONOPOLAR TIPO DIN, CORRENTE NOMINAL DE 40A - FORNECIMENTO E INSTALAÇÃO. AF_10/2020</v>
          </cell>
          <cell r="K2924" t="str">
            <v>22,25</v>
          </cell>
        </row>
        <row r="2925">
          <cell r="H2925" t="str">
            <v>DISJUNTOR MONOPOLAR TIPO DIN, CORRENTE NOMINAL DE 50A - FORNECIMENTO E INSTALAÇÃO. AF_10/2020</v>
          </cell>
          <cell r="K2925" t="str">
            <v>24,76</v>
          </cell>
        </row>
        <row r="2926">
          <cell r="H2926" t="str">
            <v>DISJUNTOR BIPOLAR TIPO DIN, CORRENTE NOMINAL DE 10A - FORNECIMENTO E INSTALAÇÃO. AF_10/2020</v>
          </cell>
          <cell r="K2926" t="str">
            <v>63,42</v>
          </cell>
        </row>
        <row r="2927">
          <cell r="H2927" t="str">
            <v>DISJUNTOR BIPOLAR TIPO DIN, CORRENTE NOMINAL DE 16A - FORNECIMENTO E INSTALAÇÃO. AF_10/2020</v>
          </cell>
          <cell r="K2927" t="str">
            <v>64,44</v>
          </cell>
        </row>
        <row r="2928">
          <cell r="H2928" t="str">
            <v>DISJUNTOR BIPOLAR TIPO DIN, CORRENTE NOMINAL DE 20A - FORNECIMENTO E INSTALAÇÃO. AF_10/2020</v>
          </cell>
          <cell r="K2928" t="str">
            <v>66,52</v>
          </cell>
        </row>
        <row r="2929">
          <cell r="H2929" t="str">
            <v>DISJUNTOR BIPOLAR TIPO DIN, CORRENTE NOMINAL DE 25A - FORNECIMENTO E INSTALAÇÃO. AF_10/2020</v>
          </cell>
          <cell r="K2929" t="str">
            <v>66,52</v>
          </cell>
        </row>
        <row r="2930">
          <cell r="H2930" t="str">
            <v>DISJUNTOR BIPOLAR TIPO DIN, CORRENTE NOMINAL DE 32A - FORNECIMENTO E INSTALAÇÃO. AF_10/2020</v>
          </cell>
          <cell r="K2930" t="str">
            <v>69,02</v>
          </cell>
        </row>
        <row r="2931">
          <cell r="H2931" t="str">
            <v>DISJUNTOR BIPOLAR TIPO DIN, CORRENTE NOMINAL DE 40A - FORNECIMENTO E INSTALAÇÃO. AF_10/2020</v>
          </cell>
          <cell r="K2931" t="str">
            <v>71,94</v>
          </cell>
        </row>
        <row r="2932">
          <cell r="H2932" t="str">
            <v>DISJUNTOR BIPOLAR TIPO DIN, CORRENTE NOMINAL DE 50A - FORNECIMENTO E INSTALAÇÃO. AF_10/2020</v>
          </cell>
          <cell r="K2932" t="str">
            <v>76,95</v>
          </cell>
        </row>
        <row r="2933">
          <cell r="H2933" t="str">
            <v>DISJUNTOR TRIPOLAR TIPO DIN, CORRENTE NOMINAL DE 10A - FORNECIMENTO E INSTALAÇÃO. AF_10/2020</v>
          </cell>
          <cell r="K2933" t="str">
            <v>78,99</v>
          </cell>
        </row>
        <row r="2934">
          <cell r="H2934" t="str">
            <v>DISJUNTOR TRIPOLAR TIPO DIN, CORRENTE NOMINAL DE 16A - FORNECIMENTO E INSTALAÇÃO. AF_10/2020</v>
          </cell>
          <cell r="K2934" t="str">
            <v>80,52</v>
          </cell>
        </row>
        <row r="2935">
          <cell r="H2935" t="str">
            <v>DISJUNTOR TRIPOLAR TIPO DIN, CORRENTE NOMINAL DE 20A - FORNECIMENTO E INSTALAÇÃO. AF_10/2020</v>
          </cell>
          <cell r="K2935" t="str">
            <v>83,65</v>
          </cell>
        </row>
        <row r="2936">
          <cell r="H2936" t="str">
            <v>DISJUNTOR TRIPOLAR TIPO DIN, CORRENTE NOMINAL DE 25A - FORNECIMENTO E INSTALAÇÃO. AF_10/2020</v>
          </cell>
          <cell r="K2936" t="str">
            <v>83,65</v>
          </cell>
        </row>
        <row r="2937">
          <cell r="H2937" t="str">
            <v>DISJUNTOR TRIPOLAR TIPO DIN, CORRENTE NOMINAL DE 32A - FORNECIMENTO E INSTALAÇÃO. AF_10/2020</v>
          </cell>
          <cell r="K2937" t="str">
            <v>87,39</v>
          </cell>
        </row>
        <row r="2938">
          <cell r="H2938" t="str">
            <v>DISJUNTOR TRIPOLAR TIPO DIN, CORRENTE NOMINAL DE 40A - FORNECIMENTO E INSTALAÇÃO. AF_10/2020</v>
          </cell>
          <cell r="K2938" t="str">
            <v>93,13</v>
          </cell>
        </row>
        <row r="2939">
          <cell r="H2939" t="str">
            <v>DISJUNTOR TRIPOLAR TIPO DIN, CORRENTE NOMINAL DE 50A - FORNECIMENTO E INSTALAÇÃO. AF_10/2020</v>
          </cell>
          <cell r="K2939" t="str">
            <v>100,66</v>
          </cell>
        </row>
        <row r="2956">
          <cell r="H2956" t="str">
            <v>DISJUNTOR TRIPOLAR TIPO NEMA, CORRENTE NOMINAL DE 10 ATÉ 50A - FORNECIMENTO E INSTALAÇÃO. AF_10/2020</v>
          </cell>
          <cell r="K2956" t="str">
            <v>100,76</v>
          </cell>
        </row>
        <row r="2957">
          <cell r="H2957" t="str">
            <v>DISJUNTOR TRIPOLAR TIPO NEMA, CORRENTE NOMINAL DE 60 ATÉ 100A - FORNECIMENTO E INSTALAÇÃO. AF_10/2020</v>
          </cell>
          <cell r="K2957" t="str">
            <v>165,10</v>
          </cell>
        </row>
        <row r="2964">
          <cell r="H2964" t="str">
            <v>CONTATOR TRIPOLAR I NOMINAL 12A - FORNECIMENTO E INSTALAÇÃO. AF_10/2020</v>
          </cell>
          <cell r="K2964" t="str">
            <v>125,42</v>
          </cell>
        </row>
        <row r="2965">
          <cell r="H2965" t="str">
            <v>CONTATOR TRIPOLAR I NOMINAL 22A - FORNECIMENTO E INSTALAÇÃO. AF_10/2020</v>
          </cell>
          <cell r="K2965" t="str">
            <v>154,97</v>
          </cell>
        </row>
        <row r="2966">
          <cell r="H2966" t="str">
            <v>CONTATOR TRIPOLAR I NOMINAL 38A - FORNECIMENTO E INSTALAÇÃO. AF_10/2020</v>
          </cell>
          <cell r="K2966" t="str">
            <v>322,94</v>
          </cell>
        </row>
        <row r="3495">
          <cell r="H3495" t="str">
            <v>TUBO DE AÇO PRETO SEM COSTURA, CONEXÃO SOLDADA, DN 25 (1"), INSTALADO EM REDE DE ALIMENTAÇÃO PARA HIDRANTE - FORNECIMENTO E INSTALAÇÃO. AF_10/2020</v>
          </cell>
          <cell r="K3495" t="str">
            <v>57,64</v>
          </cell>
        </row>
        <row r="3496">
          <cell r="H3496" t="str">
            <v>TUBO DE AÇO PRETO SEM COSTURA, CONEXÃO SOLDADA, DN 32 (1 1/4"), INSTALADO EM REDE DE ALIMENTAÇÃO PARA HIDRANTE - FORNECIMENTO E INSTALAÇÃO. AF_10/2020</v>
          </cell>
          <cell r="K3496" t="str">
            <v>77,07</v>
          </cell>
        </row>
        <row r="3497">
          <cell r="H3497" t="str">
            <v>TUBO DE AÇO PRETO SEM COSTURA, CONEXÃO SOLDADA, DN 50 (2"), INSTALADO EM REDE DE ALIMENTAÇÃO PARA HIDRANTE - FORNECIMENTO E INSTALAÇÃO. AF_10/2020</v>
          </cell>
          <cell r="K3497" t="str">
            <v>103,97</v>
          </cell>
        </row>
        <row r="3498">
          <cell r="H3498" t="str">
            <v>TUBO DE AÇO PRETO SEM COSTURA, CONEXÃO SOLDADA, DN 65 (2 1/2"), INSTALADO EM REDE DE ALIMENTAÇÃO PARA HIDRANTE - FORNECIMENTO E INSTALAÇÃO. AF_10/2020</v>
          </cell>
          <cell r="K3498" t="str">
            <v>166,45</v>
          </cell>
        </row>
        <row r="3499">
          <cell r="H3499" t="str">
            <v>TUBO DE AÇO GALVANIZADO COM COSTURA, CLASSE MÉDIA, DN 32 (1 1/4"), CONEXÃO ROSQUEADA, INSTALADO EM REDE DE ALIMENTAÇÃO PARA HIDRANTE - FORNECIMENTO E INSTALAÇÃO. AF_10/2020</v>
          </cell>
          <cell r="K3499" t="str">
            <v>67,50</v>
          </cell>
        </row>
        <row r="3500">
          <cell r="H3500" t="str">
            <v>TUBO DE AÇO GALVANIZADO COM COSTURA, CLASSE MÉDIA, DN 40 (1 1/2"), CONEXÃO ROSQUEADA, INSTALADO EM REDE DE ALIMENTAÇÃO PARA HIDRANTE - FORNECIMENTO E INSTALAÇÃO. AF_10/2020</v>
          </cell>
          <cell r="K3500" t="str">
            <v>77,91</v>
          </cell>
        </row>
        <row r="3501">
          <cell r="H3501" t="str">
            <v>TUBO DE AÇO GALVANIZADO COM COSTURA, CLASSE MÉDIA, DN 50 (2"), CONEXÃO ROSQUEADA, INSTALADO EM REDE DE ALIMENTAÇÃO PARA HIDRANTE - FORNECIMENTO E INSTALAÇÃO. AF_10/2020</v>
          </cell>
          <cell r="K3501" t="str">
            <v>109,81</v>
          </cell>
        </row>
        <row r="3502">
          <cell r="H3502" t="str">
            <v>TUBO DE AÇO GALVANIZADO COM COSTURA, CLASSE MÉDIA, DN 65 (2 1/2"), CONEXÃO ROSQUEADA, INSTALADO EM REDE DE ALIMENTAÇÃO PARA HIDRANTE - FORNECIMENTO E INSTALAÇÃO. AF_10/2020</v>
          </cell>
          <cell r="K3502" t="str">
            <v>135,42</v>
          </cell>
        </row>
        <row r="3503">
          <cell r="H3503" t="str">
            <v>TUBO DE AÇO GALVANIZADO COM COSTURA, CLASSE MÉDIA, DN 80 (3"), CONEXÃO ROSQUEADA, INSTALADO EM REDE DE ALIMENTAÇÃO PARA HIDRANTE - FORNECIMENTO E INSTALAÇÃO. AF_10/2020</v>
          </cell>
          <cell r="K3503" t="str">
            <v>180,12</v>
          </cell>
        </row>
        <row r="3504">
          <cell r="H3504" t="str">
            <v>TUBO DE AÇO PRETO SEM COSTURA, CONEXÃO SOLDADA, DN 25 (1"), INSTALADO EM REDE DE ALIMENTAÇÃO PARA SPRINKLER - FORNECIMENTO E INSTALAÇÃO. AF_10/2020</v>
          </cell>
          <cell r="K3504" t="str">
            <v>60,78</v>
          </cell>
        </row>
        <row r="3505">
          <cell r="H3505" t="str">
            <v>TUBO DE AÇO PRETO SEM COSTURA, CONEXÃO SOLDADA, DN 32 (1 1/4"), INSTALADO EM REDE DE ALIMENTAÇÃO PARA SPRINKLER - FORNECIMENTO E INSTALAÇÃO. AF_10/2020</v>
          </cell>
          <cell r="K3505" t="str">
            <v>80,20</v>
          </cell>
        </row>
        <row r="3506">
          <cell r="H3506" t="str">
            <v>TUBO DE AÇO PRETO SEM COSTURA, CONEXÃO SOLDADA, DN 40 (1 1/2"), INSTALADO EM REDE DE ALIMENTAÇÃO PARA SPRINKLER - FORNECIMENTO E INSTALAÇÃO. AF_10/2020</v>
          </cell>
          <cell r="K3506" t="str">
            <v>87,75</v>
          </cell>
        </row>
        <row r="3507">
          <cell r="H3507" t="str">
            <v>TUBO DE AÇO PRETO SEM COSTURA, CONEXÃO SOLDADA, DN 50 (2"), INSTALADO EM REDE DE ALIMENTAÇÃO PARA SPRINKLER - FORNECIMENTO E INSTALAÇÃO. AF_10/2020</v>
          </cell>
          <cell r="K3507" t="str">
            <v>107,10</v>
          </cell>
        </row>
        <row r="3508">
          <cell r="H3508" t="str">
            <v>TUBO DE AÇO PRETO SEM COSTURA, CONEXÃO SOLDADA, DN 65 (2 1/2"), INSTALADO EM REDE DE ALIMENTAÇÃO PARA SPRINKLER - FORNECIMENTO E INSTALAÇÃO. AF_10/2020</v>
          </cell>
          <cell r="K3508" t="str">
            <v>169,59</v>
          </cell>
        </row>
        <row r="3509">
          <cell r="H3509" t="str">
            <v>TUBO DE AÇO GALVANIZADO COM COSTURA, CLASSE MÉDIA, CONEXÃO ROSQUEADA, DN 32 (1 1/4"), INSTALADO EM REDE DE ALIMENTAÇÃO PARA SPRINKLER - FORNECIMENTO E INSTALAÇÃO. AF_10/2020</v>
          </cell>
          <cell r="K3509" t="str">
            <v>71,32</v>
          </cell>
        </row>
        <row r="3510">
          <cell r="H3510" t="str">
            <v>TUBO DE AÇO GALVANIZADO COM COSTURA, CLASSE MÉDIA, CONEXÃO ROSQUEADA, DN 40 (1 1/2"), INSTALADO EM REDE DE ALIMENTAÇÃO PARA SPRINKLER - FORNECIMENTO E INSTALAÇÃO. AF_10/2020</v>
          </cell>
          <cell r="K3510" t="str">
            <v>81,78</v>
          </cell>
        </row>
        <row r="3511">
          <cell r="H3511" t="str">
            <v>TUBO DE AÇO GALVANIZADO COM COSTURA, CLASSE MÉDIA, CONEXÃO ROSQUEADA, DN 50 (2"), INSTALADO EM REDE DE ALIMENTAÇÃO PARA SPRINKLER - FORNECIMENTO E INSTALAÇÃO. AF_10/2020</v>
          </cell>
          <cell r="K3511" t="str">
            <v>113,67</v>
          </cell>
        </row>
        <row r="3512">
          <cell r="H3512" t="str">
            <v>TUBO DE AÇO GALVANIZADO COM COSTURA, CLASSE MÉDIA, CONEXÃO ROSQUEADA, DN 65 (2 1/2"), INSTALADO EM REDE DE ALIMENTAÇÃO PARA SPRINKLER - FORNECIMENTO E INSTALAÇÃO. AF_10/2020</v>
          </cell>
          <cell r="K3512" t="str">
            <v>139,36</v>
          </cell>
        </row>
        <row r="3513">
          <cell r="H3513" t="str">
            <v>TUBO DE AÇO GALVANIZADO COM COSTURA, CLASSE MÉDIA, CONEXÃO ROSQUEADA, DN 80 (3"), INSTALADO EM REDE DE ALIMENTAÇÃO PARA SPRINKLER - FORNECIMENTO E INSTALAÇÃO. AF_10/2020</v>
          </cell>
          <cell r="K3513" t="str">
            <v>184,06</v>
          </cell>
        </row>
        <row r="4142">
          <cell r="H4142" t="str">
            <v>NIPLE, EM FERRO GALVANIZADO, DN 40 (1 1/2"), CONEXÃO ROSQUEADA, INSTALADO EM REDE DE ALIMENTAÇÃO PARA HIDRANTE - FORNECIMENTO E INSTALAÇÃO. AF_10/2020</v>
          </cell>
          <cell r="K4142" t="str">
            <v>43,64</v>
          </cell>
        </row>
        <row r="4143">
          <cell r="H4143" t="str">
            <v>LUVA, EM FERRO GALVANIZADO, DN 40 (1 1/2"), CONEXÃO ROSQUEADA, INSTALADO EM REDE DE ALIMENTAÇÃO PARA HIDRANTE - FORNECIMENTO E INSTALAÇÃO. AF_10/2020</v>
          </cell>
          <cell r="K4143" t="str">
            <v>43,94</v>
          </cell>
        </row>
        <row r="4144">
          <cell r="H4144" t="str">
            <v>NIPLE, EM FERRO GALVANIZADO, DN 50 (2"), CONEXÃO ROSQUEADA, INSTALADO EM REDE DE ALIMENTAÇÃO PARA HIDRANTE - FORNECIMENTO E INSTALAÇÃO. AF_10/2020</v>
          </cell>
          <cell r="K4144" t="str">
            <v>57,46</v>
          </cell>
        </row>
        <row r="4145">
          <cell r="H4145" t="str">
            <v>LUVA, EM FERRO GALVANIZADO, DN 50 (2"), CONEXÃO ROSQUEADA, INSTALADO EM REDE DE ALIMENTAÇÃO PARA HIDRANTE - FORNECIMENTO E INSTALAÇÃO. AF_10/2020</v>
          </cell>
          <cell r="K4145" t="str">
            <v>57,43</v>
          </cell>
        </row>
        <row r="4146">
          <cell r="H4146" t="str">
            <v>NIPLE, EM FERRO GALVANIZADO, DN 65 (2 1/2"), CONEXÃO ROSQUEADA, INSTALADO EM REDE DE ALIMENTAÇÃO PARA HIDRANTE - FORNECIMENTO E INSTALAÇÃO. AF_10/2020</v>
          </cell>
          <cell r="K4146" t="str">
            <v>77,94</v>
          </cell>
        </row>
        <row r="4147">
          <cell r="H4147" t="str">
            <v>LUVA, EM FERRO GALVANIZADO, DN 65 (2 1/2"), CONEXÃO ROSQUEADA, INSTALADO EM REDE DE ALIMENTAÇÃO PARA HIDRANTE - FORNECIMENTO E INSTALAÇÃO. AF_10/2020</v>
          </cell>
          <cell r="K4147" t="str">
            <v>87,17</v>
          </cell>
        </row>
        <row r="4148">
          <cell r="H4148" t="str">
            <v>NIPLE, EM FERRO GALVANIZADO, DN 80 (3"), CONEXÃO ROSQUEADA, INSTALADO EM REDE DE ALIMENTAÇÃO PARA HIDRANTE - FORNECIMENTO E INSTALAÇÃO. AF_10/2020</v>
          </cell>
          <cell r="K4148" t="str">
            <v>111,92</v>
          </cell>
        </row>
        <row r="4149">
          <cell r="H4149" t="str">
            <v>LUVA, EM FERRO GALVANIZADO, DN 80 (3"), CONEXÃO ROSQUEADA, INSTALADO EM REDE DE ALIMENTAÇÃO PARA HIDRANTE - FORNECIMENTO E INSTALAÇÃO. AF_10/2020</v>
          </cell>
          <cell r="K4149" t="str">
            <v>120,13</v>
          </cell>
        </row>
        <row r="4150">
          <cell r="H4150" t="str">
            <v>JOELHO 45 GRAUS, EM FERRO GALVANIZADO, DN 25 (1"), CONEXÃO ROSQUEADA, INSTALADO EM REDE DE ALIMENTAÇÃO PARA HIDRANTE - FORNECIMENTO E INSTALAÇÃO. AF_10/2020</v>
          </cell>
          <cell r="K4150" t="str">
            <v>45,41</v>
          </cell>
        </row>
        <row r="4151">
          <cell r="H4151" t="str">
            <v>JOELHO 90 GRAUS, EM FERRO GALVANIZADO, DN 25 (1"), CONEXÃO ROSQUEADA, INSTALADO EM REDE DE ALIMENTAÇÃO PARA HIDRANTE - FORNECIMENTO E INSTALAÇÃO. AF_10/2020</v>
          </cell>
          <cell r="K4151" t="str">
            <v>43,21</v>
          </cell>
        </row>
        <row r="4152">
          <cell r="H4152" t="str">
            <v>JOELHO 45 GRAUS, EM FERRO GALVANIZADO, DN 32 (1 1/4"), CONEXÃO ROSQUEADA, INSTALADO EM REDE DE ALIMENTAÇÃO PARA HIDRANTE - FORNECIMENTO E INSTALAÇÃO. AF_10/2020</v>
          </cell>
          <cell r="K4152" t="str">
            <v>58,15</v>
          </cell>
        </row>
        <row r="4153">
          <cell r="H4153" t="str">
            <v>JOELHO 90 GRAUS, EM FERRO GALVANIZADO, DN 32 (1 1/4"), CONEXÃO ROSQUEADA, INSTALADO EM REDE DE ALIMENTAÇÃO PARA HIDRANTE - FORNECIMENTO E INSTALAÇÃO. AF_10/2020</v>
          </cell>
          <cell r="K4153" t="str">
            <v>53,77</v>
          </cell>
        </row>
        <row r="4154">
          <cell r="H4154" t="str">
            <v>JOELHO 45 GRAUS, EM FERRO GALVANIZADO, DN 40 (1 1/2"), CONEXÃO ROSQUEADA, INSTALADO EM REDE DE ALIMENTAÇÃO PARA HIDRANTE - FORNECIMENTO E INSTALAÇÃO. AF_10/2020</v>
          </cell>
          <cell r="K4154" t="str">
            <v>66,96</v>
          </cell>
        </row>
        <row r="4155">
          <cell r="H4155" t="str">
            <v>JOELHO 90 GRAUS, EM FERRO GALVANIZADO, DN 40 (1 1/2"), CONEXÃO ROSQUEADA, INSTALADO EM REDE DE ALIMENTAÇÃO PARA HIDRANTE - FORNECIMENTO E INSTALAÇÃO. AF_10/2020</v>
          </cell>
          <cell r="K4155" t="str">
            <v>63,94</v>
          </cell>
        </row>
        <row r="4156">
          <cell r="H4156" t="str">
            <v>JOELHO 45 GRAUS, EM FERRO GALVANIZADO, DN 50 (2"), CONEXÃO ROSQUEADA, INSTALADO EM REDE DE ALIMENTAÇÃO PARA HIDRANTE - FORNECIMENTO E INSTALAÇÃO. AF_10/2020</v>
          </cell>
          <cell r="K4156" t="str">
            <v>85,39</v>
          </cell>
        </row>
        <row r="4157">
          <cell r="H4157" t="str">
            <v>JOELHO 90 GRAUS, EM FERRO GALVANIZADO, DN 50 (2"), CONEXÃO ROSQUEADA, INSTALADO EM REDE DE ALIMENTAÇÃO PARA HIDRANTE - FORNECIMENTO E INSTALAÇÃO. AF_10/2020</v>
          </cell>
          <cell r="K4157" t="str">
            <v>83,34</v>
          </cell>
        </row>
        <row r="4158">
          <cell r="H4158" t="str">
            <v>JOELHO 45 GRAUS, EM FERRO GALVANIZADO, DN 65 (2 1/2"), CONEXÃO ROSQUEADA, INSTALADO EM REDE DE ALIMENTAÇÃO PARA HIDRANTE - FORNECIMENTO E INSTALAÇÃO. AF_10/2020</v>
          </cell>
          <cell r="K4158" t="str">
            <v>134,68</v>
          </cell>
        </row>
        <row r="4159">
          <cell r="H4159" t="str">
            <v>JOELHO 90 GRAUS, EM FERRO GALVANIZADO, DN 65 (2 1/2"), CONEXÃO ROSQUEADA, INSTALADO EM REDE DE ALIMENTAÇÃO PARA HIDRANTE - FORNECIMENTO E INSTALAÇÃO. AF_10/2020</v>
          </cell>
          <cell r="K4159" t="str">
            <v>125,66</v>
          </cell>
        </row>
        <row r="4160">
          <cell r="H4160" t="str">
            <v>JOELHO 45 GRAUS, EM FERRO GALVANIZADO, CONEXÃO ROSQUEADA, DN 80 (3"), INSTALADO EM REDE DE ALIMENTAÇÃO PARA HIDRANTE - FORNECIMENTO E INSTALAÇÃO. AF_10/2020</v>
          </cell>
          <cell r="K4160" t="str">
            <v>182,04</v>
          </cell>
        </row>
        <row r="4161">
          <cell r="H4161" t="str">
            <v>JOELHO 90 GRAUS, EM FERRO GALVANIZADO, CONEXÃO ROSQUEADA, DN 80 (3"), INSTALADO EM REDE DE ALIMENTAÇÃO PARA HIDRANTE - FORNECIMENTO E INSTALAÇÃO. AF_10/2020</v>
          </cell>
          <cell r="K4161" t="str">
            <v>164,65</v>
          </cell>
        </row>
        <row r="4162">
          <cell r="H4162" t="str">
            <v>TÊ, EM FERRO GALVANIZADO, CONEXÃO ROSQUEADA, DN 25 (1"), INSTALADO EM REDE DE ALIMENTAÇÃO PARA HIDRANTE - FORNECIMENTO E INSTALAÇÃO. AF_10/2020</v>
          </cell>
          <cell r="K4162" t="str">
            <v>58,45</v>
          </cell>
        </row>
        <row r="4163">
          <cell r="H4163" t="str">
            <v>TÊ, EM FERRO GALVANIZADO, CONEXÃO ROSQUEADA, DN 32 (1 1/4"), INSTALADO EM REDE DE ALIMENTAÇÃO PARA HIDRANTE - FORNECIMENTO E INSTALAÇÃO. AF_10/2020</v>
          </cell>
          <cell r="K4163" t="str">
            <v>72,22</v>
          </cell>
        </row>
        <row r="4164">
          <cell r="H4164" t="str">
            <v>TÊ, EM FERRO GALVANIZADO, CONEXÃO ROSQUEADA, DN 40 (1 1/2"), INSTALADO EM REDE DE ALIMENTAÇÃO PARA HIDRANTE - FORNECIMENTO E INSTALAÇÃO. AF_10/2020</v>
          </cell>
          <cell r="K4164" t="str">
            <v>84,09</v>
          </cell>
        </row>
        <row r="4165">
          <cell r="H4165" t="str">
            <v>TÊ, EM FERRO GALVANIZADO, CONEXÃO ROSQUEADA, DN 50 (2"), INSTALADO EM REDE DE ALIMENTAÇÃO PARA HIDRANTE - FORNECIMENTO E INSTALAÇÃO. AF_10/2020</v>
          </cell>
          <cell r="K4165" t="str">
            <v>111,07</v>
          </cell>
        </row>
        <row r="4166">
          <cell r="H4166" t="str">
            <v>TÊ, EM FERRO GALVANIZADO, CONEXÃO ROSQUEADA, DN 65 (2 1/2"), INSTALADO EM REDE DE ALIMENTAÇÃO PARA HIDRANTE - FORNECIMENTO E INSTALAÇÃO. AF_10/2020</v>
          </cell>
          <cell r="K4166" t="str">
            <v>172,02</v>
          </cell>
        </row>
        <row r="4167">
          <cell r="H4167" t="str">
            <v>TÊ, EM FERRO GALVANIZADO, CONEXÃO ROSQUEADA, DN 80 (3"), INSTALADO EM REDE DE ALIMENTAÇÃO PARA HIDRANTE - FORNECIMENTO E INSTALAÇÃO. AF_10/2020</v>
          </cell>
          <cell r="K4167" t="str">
            <v>217,86</v>
          </cell>
        </row>
        <row r="4169">
          <cell r="H4169" t="str">
            <v>LUVA, EM FERRO GALVANIZADO, CONEXÃO ROSQUEADA, DN 25 (1"), INSTALADO EM REDE DE ALIMENTAÇÃO PARA SPRINKLER - FORNECIMENTO E INSTALAÇÃO. AF_10/2020</v>
          </cell>
          <cell r="K4169" t="str">
            <v>24,16</v>
          </cell>
        </row>
        <row r="4171">
          <cell r="G4171" t="str">
            <v>92660</v>
          </cell>
          <cell r="H4171" t="str">
            <v>LUVA, EM FERRO GALVANIZADO, CONEXÃO ROSQUEADA, DN 32 (1 1/4"), INSTALADO EM REDE DE ALIMENTAÇÃO PARA SPRINKLER - FORNECIMENTO E INSTALAÇÃO. AF_10/2020</v>
          </cell>
          <cell r="K4171" t="str">
            <v>29,71</v>
          </cell>
        </row>
        <row r="4173">
          <cell r="G4173" t="str">
            <v>92662</v>
          </cell>
          <cell r="H4173" t="str">
            <v>LUVA, EM FERRO GALVANIZADO, CONEXÃO ROSQUEADA, DN 40 (1 1/2"), INSTALADO EM REDE DE ALIMENTAÇÃO PARA SPRINKLER - FORNECIMENTO E INSTALAÇÃO. AF_10/2020</v>
          </cell>
          <cell r="K4173" t="str">
            <v>34,29</v>
          </cell>
        </row>
        <row r="4175">
          <cell r="G4175" t="str">
            <v>92664</v>
          </cell>
          <cell r="H4175" t="str">
            <v>LUVA, EM FERRO GALVANIZADO, CONEXÃO ROSQUEADA, DN 50 (2"), INSTALADO EM REDE DE ALIMENTAÇÃO PARA SPRINKLER - FORNECIMENTO E INSTALAÇÃO. AF_10/2020</v>
          </cell>
          <cell r="K4175" t="str">
            <v>46,32</v>
          </cell>
        </row>
        <row r="4177">
          <cell r="G4177" t="str">
            <v>92666</v>
          </cell>
          <cell r="H4177" t="str">
            <v>LUVA, EM FERRO GALVANIZADO, CONEXÃO ROSQUEADA, DN 65 (2 1/2"), INSTALADO EM REDE DE ALIMENTAÇÃO PARA SPRINKLER - FORNECIMENTO E INSTALAÇÃO. AF_10/2020</v>
          </cell>
          <cell r="K4177" t="str">
            <v>73,85</v>
          </cell>
        </row>
        <row r="4180">
          <cell r="H4180" t="str">
            <v>JOELHO 45 GRAUS, EM FERRO GALVANIZADO, CONEXÃO ROSQUEADA, DN 25 (1"), INSTALADO EM REDE DE ALIMENTAÇÃO PARA SPRINKLER - FORNECIMENTO E INSTALAÇÃO. AF_10/2020</v>
          </cell>
          <cell r="K4180" t="str">
            <v>34,22</v>
          </cell>
        </row>
        <row r="4181">
          <cell r="H4181" t="str">
            <v>JOELHO 90 GRAUS, EM FERRO GALVANIZADO, CONEXÃO ROSQUEADA, DN 25 (1"), INSTALADO EM REDE DE ALIMENTAÇÃO PARA SPRINKLER - FORNECIMENTO E INSTALAÇÃO. AF_10/2020</v>
          </cell>
          <cell r="K4181" t="str">
            <v>32,02</v>
          </cell>
        </row>
        <row r="4182">
          <cell r="H4182" t="str">
            <v>JOELHO 45 GRAUS, EM FERRO GALVANIZADO, CONEXÃO ROSQUEADA, DN 32 (1 1/4"), INSTALADO EM REDE DE ALIMENTAÇÃO PARA SPRINKLER - FORNECIMENTO E INSTALAÇÃO. AF_10/2020</v>
          </cell>
          <cell r="K4182" t="str">
            <v>45,45</v>
          </cell>
        </row>
        <row r="4183">
          <cell r="H4183" t="str">
            <v>JOELHO 90 GRAUS, EM FERRO GALVANIZADO, CONEXÃO ROSQUEADA, DN 32 (1 1/4"), INSTALADO EM REDE DE ALIMENTAÇÃO PARA SPRINKLER - FORNECIMENTO E INSTALAÇÃO. AF_10/2020</v>
          </cell>
          <cell r="K4183" t="str">
            <v>41,07</v>
          </cell>
        </row>
        <row r="4184">
          <cell r="H4184" t="str">
            <v>JOELHO 45 GRAUS, EM FERRO GALVANIZADO, CONEXÃO ROSQUEADA, DN 40 (1 1/2"), INSTALADO EM REDE DE ALIMENTAÇÃO PARA SPRINKLER - FORNECIMENTO E INSTALAÇÃO. AF_10/2020</v>
          </cell>
          <cell r="K4184" t="str">
            <v>52,50</v>
          </cell>
        </row>
        <row r="4185">
          <cell r="H4185" t="str">
            <v>JOELHO 90 GRAUS, EM FERRO GALVANIZADO, CONEXÃO ROSQUEADA, DN 40 (1 1/2"), INSTALADO EM REDE DE ALIMENTAÇÃO PARA SPRINKLER - FORNECIMENTO E INSTALAÇÃO. AF_10/2020</v>
          </cell>
          <cell r="K4185" t="str">
            <v>49,48</v>
          </cell>
        </row>
        <row r="4186">
          <cell r="H4186" t="str">
            <v>JOELHO 45 GRAUS, EM FERRO GALVANIZADO, CONEXÃO ROSQUEADA, DN 50 (2"), INSTALADO EM REDE DE ALIMENTAÇÃO PARA SPRINKLER - FORNECIMENTO E INSTALAÇÃO. AF_10/2020</v>
          </cell>
          <cell r="K4186" t="str">
            <v>68,76</v>
          </cell>
        </row>
        <row r="4187">
          <cell r="H4187" t="str">
            <v>JOELHO 90 GRAUS, EM FERRO GALVANIZADO, CONEXÃO ROSQUEADA, DN 50 (2"), INSTALADO EM REDE DE ALIMENTAÇÃO PARA SPRINKLER - FORNECIMENTO E INSTALAÇÃO. AF_10/2020</v>
          </cell>
          <cell r="K4187" t="str">
            <v>66,71</v>
          </cell>
        </row>
        <row r="4188">
          <cell r="H4188" t="str">
            <v>JOELHO 45 GRAUS, EM FERRO GALVANIZADO, CONEXÃO ROSQUEADA, DN 65 (2 1/2"), INSTALADO EM REDE DE ALIMENTAÇÃO PARA SPRINKLER - FORNECIMENTO E INSTALAÇÃO. AF_10/2020</v>
          </cell>
          <cell r="K4188" t="str">
            <v>114,75</v>
          </cell>
        </row>
        <row r="4189">
          <cell r="H4189" t="str">
            <v>JOELHO 90 GRAUS, EM FERRO GALVANIZADO, CONEXÃO ROSQUEADA, DN 65 (2 1/2"), INSTALADO EM REDE DE ALIMENTAÇÃO PARA SPRINKLER - FORNECIMENTO E INSTALAÇÃO. AF_10/2020</v>
          </cell>
          <cell r="K4189" t="str">
            <v>105,73</v>
          </cell>
        </row>
        <row r="4192">
          <cell r="H4192" t="str">
            <v>TÊ, EM FERRO GALVANIZADO, CONEXÃO ROSQUEADA, DN 25 (1"), INSTALADO EM REDE DE ALIMENTAÇÃO PARA SPRINKLER - FORNECIMENTO E INSTALAÇÃO. AF_10/2020</v>
          </cell>
          <cell r="K4192" t="str">
            <v>43,51</v>
          </cell>
        </row>
        <row r="4193">
          <cell r="H4193" t="str">
            <v>TÊ, EM FERRO GALVANIZADO, CONEXÃO ROSQUEADA, DN 32 (1 1/4"), INSTALADO EM REDE DE ALIMENTAÇÃO PARA SPRINKLER - FORNECIMENTO E INSTALAÇÃO. AF_10/2020</v>
          </cell>
          <cell r="K4193" t="str">
            <v>55,24</v>
          </cell>
        </row>
        <row r="4194">
          <cell r="H4194" t="str">
            <v>TÊ, EM FERRO GALVANIZADO, CONEXÃO ROSQUEADA, DN 40 (1 1/2"), INSTALADO EM REDE DE ALIMENTAÇÃO PARA SPRINKLER - FORNECIMENTO E INSTALAÇÃO. AF_10/2020</v>
          </cell>
          <cell r="K4194" t="str">
            <v>64,83</v>
          </cell>
        </row>
        <row r="4195">
          <cell r="H4195" t="str">
            <v>TÊ, EM FERRO GALVANIZADO, CONEXÃO ROSQUEADA, DN 50 (2"), INSTALADO EM REDE DE ALIMENTAÇÃO PARA SPRINKLER - FORNECIMENTO E INSTALAÇÃO. AF_10/2020</v>
          </cell>
          <cell r="K4195" t="str">
            <v>88,89</v>
          </cell>
        </row>
        <row r="4196">
          <cell r="H4196" t="str">
            <v>TÊ, EM FERRO GALVANIZADO, CONEXÃO ROSQUEADA, DN 65 (2 1/2"), INSTALADO EM REDE DE ALIMENTAÇÃO PARA SPRINKLER - FORNECIMENTO E INSTALAÇÃO. AF_10/2020</v>
          </cell>
          <cell r="K4196" t="str">
            <v>145,46</v>
          </cell>
        </row>
        <row r="4217">
          <cell r="H4217" t="str">
            <v>UNIÃO, EM FERRO GALVANIZADO, DN 32 (1 1/4"), CONEXÃO ROSQUEADA, INSTALADO EM REDE DE ALIMENTAÇÃO PARA HIDRANTE - FORNECIMENTO E INSTALAÇÃO. AF_10/2020</v>
          </cell>
          <cell r="K4217" t="str">
            <v>71,31</v>
          </cell>
        </row>
        <row r="4218">
          <cell r="H4218" t="str">
            <v>UNIÃO, EM FERRO GALVANIZADO, DN 40 (1 1/2"), CONEXÃO ROSQUEADA, INSTALADO EM REDE DE ALIMENTAÇÃO PARA HIDRANTE - FORNECIMENTO E INSTALAÇÃO. AF_10/2020</v>
          </cell>
          <cell r="K4218" t="str">
            <v>85,52</v>
          </cell>
        </row>
        <row r="4219">
          <cell r="H4219" t="str">
            <v>UNIÃO, EM FERRO GALVANIZADO, DN 50 (2"), CONEXÃO ROSQUEADA, INSTALADO EM REDE DE ALIMENTAÇÃO PARA HIDRANTE - FORNECIMENTO E INSTALAÇÃO. AF_10/2020</v>
          </cell>
          <cell r="K4219" t="str">
            <v>117,32</v>
          </cell>
        </row>
        <row r="4220">
          <cell r="H4220" t="str">
            <v>UNIÃO, EM FERRO GALVANIZADO, DN 65 (2 1/2"), CONEXÃO ROSQUEADA, INSTALADO EM REDE DE ALIMENTAÇÃO PARA HIDRANTE - FORNECIMENTO E INSTALAÇÃO. AF_10/2020</v>
          </cell>
          <cell r="K4220" t="str">
            <v>180,90</v>
          </cell>
        </row>
        <row r="4221">
          <cell r="H4221" t="str">
            <v>UNIÃO, EM FERRO GALVANIZADO, DN 80 (3"), CONEXÃO ROSQUEADA, INSTALADO EM REDE DE ALIMENTAÇÃO PARA HIDRANTE - FORNECIMENTO E INSTALAÇÃO. AF_10/2020</v>
          </cell>
          <cell r="K4221" t="str">
            <v>267,68</v>
          </cell>
        </row>
        <row r="4222">
          <cell r="H4222" t="str">
            <v>UNIÃO, EM FERRO GALVANIZADO, CONEXÃO ROSQUEADA, DN 25 (1"), INSTALADO EM REDE DE ALIMENTAÇÃO PARA SPRINKLER - FORNECIMENTO E INSTALAÇÃO. AF_10/2020</v>
          </cell>
          <cell r="K4222" t="str">
            <v>41,98</v>
          </cell>
        </row>
        <row r="4223">
          <cell r="H4223" t="str">
            <v>UNIÃO, EM FERRO GALVANIZADO, CONEXÃO ROSQUEADA, DN 32 (1 1/4"), INSTALADO EM REDE DE ALIMENTAÇÃO PARA SPRINKLER - FORNECIMENTO E INSTALAÇÃO. AF_10/2020</v>
          </cell>
          <cell r="K4223" t="str">
            <v>62,84</v>
          </cell>
        </row>
        <row r="4224">
          <cell r="H4224" t="str">
            <v>UNIÃO, EM FERRO GALVANIZADO, CONEXÃO ROSQUEADA, DN 40 (1 1/2"), INSTALADO EM REDE DE ALIMENTAÇÃO PARA SPRINKLER - FORNECIMENTO E INSTALAÇÃO. AF_10/2020</v>
          </cell>
          <cell r="K4224" t="str">
            <v>75,87</v>
          </cell>
        </row>
        <row r="4225">
          <cell r="H4225" t="str">
            <v>UNIÃO, EM FERRO GALVANIZADO, CONEXÃO ROSQUEADA, DN 50 (2"), INSTALADO EM REDE DE ALIMENTAÇÃO PARA SPRINKLER - FORNECIMENTO E INSTALAÇÃO. AF_10/2020</v>
          </cell>
          <cell r="K4225" t="str">
            <v>106,21</v>
          </cell>
        </row>
        <row r="4231">
          <cell r="H4231" t="str">
            <v>LUVA DE REDUÇÃO, EM FERRO GALVANIZADO, 2" X 1 1/2", CONEXÃO ROSQUEADA, INSTALADO EM PRUMADAS - FORNECIMENTO E INSTALAÇÃO. AF_10/2020</v>
          </cell>
          <cell r="K4231" t="str">
            <v>60,94</v>
          </cell>
        </row>
        <row r="4232">
          <cell r="H4232" t="str">
            <v>LUVA DE REDUÇÃO, EM FERRO GALVANIZADO, 2" X 1 1/4", CONEXÃO ROSQUEADA, INSTALADO EM PRUMADAS - FORNECIMENTO E INSTALAÇÃO. AF_10/2020</v>
          </cell>
          <cell r="K4232" t="str">
            <v>60,94</v>
          </cell>
        </row>
        <row r="4233">
          <cell r="H4233" t="str">
            <v>LUVA DE REDUÇÃO, EM FERRO GALVANIZADO, 2" X 1", CONEXÃO ROSQUEADA, INSTALADO EM PRUMADAS - FORNECIMENTO E INSTALAÇÃO. AF_10/2020</v>
          </cell>
          <cell r="K4233" t="str">
            <v>60,94</v>
          </cell>
        </row>
        <row r="4234">
          <cell r="H4234" t="str">
            <v>LUVA DE REDUÇÃO, EM FERRO GALVANIZADO, 2 1/2" X 1 1/2", CONEXÃO ROSQUEADA, INSTALADO EM PRUMADAS - FORNECIMENTO E INSTALAÇÃO. AF_10/2020</v>
          </cell>
          <cell r="K4234" t="str">
            <v>89,72</v>
          </cell>
        </row>
        <row r="4235">
          <cell r="H4235" t="str">
            <v>LUVA DE REDUÇÃO, EM FERRO GALVANIZADO, 2 1/2" X 2", CONEXÃO ROSQUEADA, INSTALADO EM PRUMADAS - FORNECIMENTO E INSTALAÇÃO. AF_10/2020</v>
          </cell>
          <cell r="K4235" t="str">
            <v>89,72</v>
          </cell>
        </row>
        <row r="4236">
          <cell r="H4236" t="str">
            <v>LUVA DE REDUÇÃO, EM FERRO GALVANIZADO, 3" X 1 1/2", CONEXÃO ROSQUEADA, INSTALADO EM PRUMADAS - FORNECIMENTO E INSTALAÇÃO. AF_10/2020</v>
          </cell>
          <cell r="K4236" t="str">
            <v>121,87</v>
          </cell>
        </row>
        <row r="4237">
          <cell r="H4237" t="str">
            <v>LUVA DE REDUÇÃO, EM FERRO GALVANIZADO, 3" X 2 1/2", CONEXÃO ROSQUEADA, INSTALADO EM PRUMADAS - FORNECIMENTO E INSTALAÇÃO. AF_10/2020</v>
          </cell>
          <cell r="K4237" t="str">
            <v>124,17</v>
          </cell>
        </row>
        <row r="4239">
          <cell r="H4239" t="str">
            <v>LUVA DE REDUÇÃO, EM FERRO GALVANIZADO, 1" X 1/2", CONEXÃO ROSQUEADA, INSTALADO EM REDE DE ALIMENTAÇÃO PARA HIDRANTE - FORNECIMENTO E INSTALAÇÃO. AF_10/2020</v>
          </cell>
          <cell r="K4239" t="str">
            <v>31,47</v>
          </cell>
        </row>
        <row r="4240">
          <cell r="H4240" t="str">
            <v>LUVA DE REDUÇÃO, EM FERRO GALVANIZADO, 1" X 3/4", CONEXÃO ROSQUEADA, INSTALADO EM REDE DE ALIMENTAÇÃO PARA HIDRANTE - FORNECIMENTO E INSTALAÇÃO. AF_10/2020</v>
          </cell>
          <cell r="K4240" t="str">
            <v>31,70</v>
          </cell>
        </row>
        <row r="4241">
          <cell r="H4241" t="str">
            <v>LUVA DE REDUÇÃO, EM FERRO GALVANIZADO, 1 1/4" X 1", CONEXÃO ROSQUEADA, INSTALADO EM REDE DE ALIMENTAÇÃO PARA HIDRANTE - FORNECIMENTO E INSTALAÇÃO. AF_10/2020</v>
          </cell>
          <cell r="K4241" t="str">
            <v>39,42</v>
          </cell>
        </row>
        <row r="4242">
          <cell r="H4242" t="str">
            <v>LUVA DE REDUÇÃO, EM FERRO GALVANIZADO, 1 1/4" X 1/2", CONEXÃO ROSQUEADA, INSTALADO EM REDE DE ALIMENTAÇÃO PARA HIDRANTE - FORNECIMENTO E INSTALAÇÃO. AF_10/2020</v>
          </cell>
          <cell r="K4242" t="str">
            <v>39,41</v>
          </cell>
        </row>
        <row r="4243">
          <cell r="H4243" t="str">
            <v>LUVA DE REDUÇÃO, EM FERRO GALVANIZADO, 1 1/4" X 3/4", CONEXÃO ROSQUEADA, INSTALADO EM REDE DE ALIMENTAÇÃO PARA HIDRANTE - FORNECIMENTO E INSTALAÇÃO. AF_10/2020</v>
          </cell>
          <cell r="K4243" t="str">
            <v>39,41</v>
          </cell>
        </row>
        <row r="4244">
          <cell r="H4244" t="str">
            <v>LUVA DE REDUÇÃO, EM FERRO GALVANIZADO, 1 1/2" X 1 1/4", CONEXÃO ROSQUEADA, INSTALADO EM REDE DE ALIMENTAÇÃO PARA HIDRANTE - FORNECIMENTO E INSTALAÇÃO. AF_10/2020</v>
          </cell>
          <cell r="K4244" t="str">
            <v>45,22</v>
          </cell>
        </row>
        <row r="4245">
          <cell r="H4245" t="str">
            <v>LUVA DE REDUÇÃO, EM FERRO GALVANIZADO, 1 1/2" X 1", CONEXÃO ROSQUEADA, INSTALADO EM REDE DE ALIMENTAÇÃO PARA HIDRANTE - FORNECIMENTO E INSTALAÇÃO. AF_10/2020</v>
          </cell>
          <cell r="K4245" t="str">
            <v>45,22</v>
          </cell>
        </row>
        <row r="4246">
          <cell r="H4246" t="str">
            <v>LUVA DE REDUÇÃO, EM FERRO GALVANIZADO, 1 1/2" X 3/4", CONEXÃO ROSQUEADA, INSTALADO EM REDE DE ALIMENTAÇÃO PARA HIDRANTE - FORNECIMENTO E INSTALAÇÃO. AF_10/2020</v>
          </cell>
          <cell r="K4246" t="str">
            <v>45,22</v>
          </cell>
        </row>
        <row r="4247">
          <cell r="H4247" t="str">
            <v>LUVA DE REDUÇÃO, EM FERRO GALVANIZADO, 2" X 1 1/2", CONEXÃO ROSQUEADA, INSTALADO EM REDE DE ALIMENTAÇÃO PARA HIDRANTE - FORNECIMENTO E INSTALAÇÃO. AF_10/2020</v>
          </cell>
          <cell r="K4247" t="str">
            <v>60,91</v>
          </cell>
        </row>
        <row r="4248">
          <cell r="H4248" t="str">
            <v>LUVA DE REDUÇÃO, EM FERRO GALVANIZADO, 2" X 1 1/4", CONEXÃO ROSQUEADA, INSTALADO EM REDE DE ALIMENTAÇÃO PARA HIDRANTE - FORNECIMENTO E INSTALAÇÃO. AF_10/2020</v>
          </cell>
          <cell r="K4248" t="str">
            <v>60,91</v>
          </cell>
        </row>
        <row r="4249">
          <cell r="H4249" t="str">
            <v>LUVA DE REDUÇÃO, EM FERRO GALVANIZADO, 2" X 1", CONEXÃO ROSQUEADA, INSTALADO EM REDE DE ALIMENTAÇÃO PARA HIDRANTE - FORNECIMENTO E INSTALAÇÃO. AF_10/2020</v>
          </cell>
          <cell r="K4249" t="str">
            <v>60,91</v>
          </cell>
        </row>
        <row r="4250">
          <cell r="H4250" t="str">
            <v>LUVA DE REDUÇÃO, EM FERRO GALVANIZADO, 2 1/2" X 1 1/2", CONEXÃO ROSQUEADA, INSTALADO EM REDE DE ALIMENTAÇÃO PARA HIDRANTE - FORNECIMENTO E INSTALAÇÃO. AF_10/2020</v>
          </cell>
          <cell r="K4250" t="str">
            <v>91,06</v>
          </cell>
        </row>
        <row r="4251">
          <cell r="H4251" t="str">
            <v>LUVA DE REDUÇÃO, EM FERRO GALVANIZADO, 2 1/2" X 2", CONEXÃO ROSQUEADA, INSTALADO EM REDE DE ALIMENTAÇÃO PARA HIDRANTE - FORNECIMENTO E INSTALAÇÃO. AF_10/2020</v>
          </cell>
          <cell r="K4251" t="str">
            <v>91,06</v>
          </cell>
        </row>
        <row r="4254">
          <cell r="H4254" t="str">
            <v>LUVA DE REDUÇÃO, EM FERRO GALVANIZADO, 1" X 1/2", CONEXÃO ROSQUEADA, INSTALADO EM REDE DE ALIMENTAÇÃO PARA SPRINKLER - FORNECIMENTO E INSTALAÇÃO. AF_10/2020</v>
          </cell>
          <cell r="K4254" t="str">
            <v>24,02</v>
          </cell>
        </row>
        <row r="4255">
          <cell r="H4255" t="str">
            <v>LUVA DE REDUÇÃO, EM FERRO GALVANIZADO, 1" X 3/4", CONEXÃO ROSQUEADA, INSTALADO EM REDE DE ALIMENTAÇÃO PARA SPRINKLER - FORNECIMENTO E INSTALAÇÃO. AF_10/2020</v>
          </cell>
          <cell r="K4255" t="str">
            <v>24,25</v>
          </cell>
        </row>
        <row r="4256">
          <cell r="H4256" t="str">
            <v>LUVA DE REDUÇÃO, EM FERRO GALVANIZADO, 1 1/4" X 1", CONEXÃO ROSQUEADA, INSTALADO EM REDE DE ALIMENTAÇÃO PARA SPRINKLER - FORNECIMENTO E INSTALAÇÃO. AF_10/2020</v>
          </cell>
          <cell r="K4256" t="str">
            <v>30,95</v>
          </cell>
        </row>
        <row r="4257">
          <cell r="H4257" t="str">
            <v>LUVA DE REDUÇÃO, EM FERRO GALVANIZADO, 1 1/4" X 1/2", CONEXÃO ROSQUEADA, INSTALADO EM REDE DE ALIMENTAÇÃO PARA SPRINKLER - FORNECIMENTO E INSTALAÇÃO. AF_10/2020</v>
          </cell>
          <cell r="K4257" t="str">
            <v>30,94</v>
          </cell>
        </row>
        <row r="4258">
          <cell r="H4258" t="str">
            <v>LUVA DE REDUÇÃO, EM FERRO GALVANIZADO, 1 1/4" X 3/4", CONEXÃO ROSQUEADA, INSTALADO EM REDE DE ALIMENTAÇÃO PARA SPRINKLER - FORNECIMENTO E INSTALAÇÃO. AF_10/2020</v>
          </cell>
          <cell r="K4258" t="str">
            <v>30,94</v>
          </cell>
        </row>
        <row r="4259">
          <cell r="H4259" t="str">
            <v>LUVA DE REDUÇÃO, EM FERRO GALVANIZADO, 1 1/2" X 1 1/4", CONEXÃO ROSQUEADA, INSTALADO EM REDE DE ALIMENTAÇÃO PARA SPRINKLER - FORNECIMENTO E INSTALAÇÃO. AF_10/2020</v>
          </cell>
          <cell r="K4259" t="str">
            <v>35,57</v>
          </cell>
        </row>
        <row r="4260">
          <cell r="H4260" t="str">
            <v>LUVA DE REDUÇÃO, EM FERRO GALVANIZADO, 1 1/2" X 1", CONEXÃO ROSQUEADA, INSTALADO EM REDE DE ALIMENTAÇÃO PARA SPRINKLER - FORNECIMENTO E INSTALAÇÃO. AF_10/2020</v>
          </cell>
          <cell r="K4260" t="str">
            <v>35,57</v>
          </cell>
        </row>
        <row r="4261">
          <cell r="H4261" t="str">
            <v>LUVA DE REDUÇÃO, EM FERRO GALVANIZADO, 1 1/2" X 3/4", CONEXÃO ROSQUEADA, INSTALADO EM REDE DE ALIMENTAÇÃO PARA SPRINKLER - FORNECIMENTO E INSTALAÇÃO. AF_10/2020</v>
          </cell>
          <cell r="K4261" t="str">
            <v>35,57</v>
          </cell>
        </row>
        <row r="4262">
          <cell r="H4262" t="str">
            <v>LUVA DE REDUÇÃO, EM FERRO GALVANIZADO, 2" X 1 1/2", CONEXÃO ROSQUEADA, INSTALADO EM REDE DE ALIMENTAÇÃO PARA SPRINKLER - FORNECIMENTO E INSTALAÇÃO. AF_10/2020</v>
          </cell>
          <cell r="K4262" t="str">
            <v>49,80</v>
          </cell>
        </row>
        <row r="4263">
          <cell r="H4263" t="str">
            <v>LUVA DE REDUÇÃO, EM FERRO GALVANIZADO, 2" X 1 1/4", CONEXÃO ROSQUEADA, INSTALADO EM REDE DE ALIMENTAÇÃO PARA SPRINKLER - FORNECIMENTO E INSTALAÇÃO. AF_10/2020</v>
          </cell>
          <cell r="K4263" t="str">
            <v>49,80</v>
          </cell>
        </row>
        <row r="4264">
          <cell r="H4264" t="str">
            <v>LUVA DE REDUÇÃO, EM FERRO GALVANIZADO, 2" X 1", CONEXÃO ROSQUEADA, INSTALADO EM REDE DE ALIMENTAÇÃO PARA SPRINKLER - FORNECIMENTO E INSTALAÇÃO. AF_10/2020</v>
          </cell>
          <cell r="K4264" t="str">
            <v>49,80</v>
          </cell>
        </row>
        <row r="4476">
          <cell r="H4476" t="str">
            <v>SPRINKLER TIPO PENDENTE, 68 °C, UNIÃO POR ROSCA DN 15 (1/2") - FORNECIMENTO E INSTALAÇÃO. AF_10/2020</v>
          </cell>
          <cell r="K4476" t="str">
            <v>36,53</v>
          </cell>
        </row>
        <row r="5012">
          <cell r="G5012" t="str">
            <v>95248</v>
          </cell>
          <cell r="H5012" t="str">
            <v>VÁLVULA DE ESFERA BRUTA, BRONZE, ROSCÁVEL, 1/2" - FORNECIMENTO E INSTALAÇÃO. AF_08/2021</v>
          </cell>
          <cell r="K5012" t="str">
            <v>50,19</v>
          </cell>
        </row>
        <row r="5013">
          <cell r="G5013" t="str">
            <v>95249</v>
          </cell>
          <cell r="H5013" t="str">
            <v>VÁLVULA DE ESFERA BRUTA, BRONZE, ROSCÁVEL, 3/4'' - FORNECIMENTO E INSTALAÇÃO. AF_08/2021</v>
          </cell>
          <cell r="K5013" t="str">
            <v>59,01</v>
          </cell>
        </row>
        <row r="5014">
          <cell r="G5014" t="str">
            <v>95250</v>
          </cell>
          <cell r="H5014" t="str">
            <v>VÁLVULA DE ESFERA BRUTA, BRONZE, ROSCÁVEL, 1'' - FORNECIMENTO E INSTALAÇÃO. AF_08/2021</v>
          </cell>
          <cell r="K5014" t="str">
            <v>79,66</v>
          </cell>
        </row>
        <row r="5015">
          <cell r="G5015" t="str">
            <v>95251</v>
          </cell>
          <cell r="H5015" t="str">
            <v>VÁLVULA DE ESFERA BRUTA, BRONZE, ROSCÁVEL, 1 1/4'' - FORNECIMENTO E INSTALAÇÃO. AF_08/2021</v>
          </cell>
          <cell r="K5015" t="str">
            <v>117,92</v>
          </cell>
        </row>
        <row r="5016">
          <cell r="G5016" t="str">
            <v>95252</v>
          </cell>
          <cell r="H5016" t="str">
            <v>VÁLVULA DE ESFERA BRUTA, BRONZE, ROSCÁVEL, 1 1/2'' - FORNECIMENTO E INSTALAÇÃO. AF_08/2021</v>
          </cell>
          <cell r="K5016" t="str">
            <v>142,87</v>
          </cell>
        </row>
        <row r="5017">
          <cell r="G5017" t="str">
            <v>95253</v>
          </cell>
          <cell r="H5017" t="str">
            <v>VÁLVULA DE ESFERA BRUTA, BRONZE, ROSCÁVEL, 2'' - FORNECIMENTO E INSTALAÇÃO. AF_08/2021</v>
          </cell>
          <cell r="K5017" t="str">
            <v>217,64</v>
          </cell>
        </row>
        <row r="5018">
          <cell r="G5018" t="str">
            <v>99619</v>
          </cell>
          <cell r="H5018" t="str">
            <v>VÁLVULA DE RETENÇÃO HORIZONTAL, DE BRONZE, ROSCÁVEL, 3/4" - FORNECIMENTO E INSTALAÇÃO. AF_08/2021</v>
          </cell>
          <cell r="K5018" t="str">
            <v>98,32</v>
          </cell>
        </row>
        <row r="5019">
          <cell r="G5019" t="str">
            <v>99620</v>
          </cell>
          <cell r="H5019" t="str">
            <v>VÁLVULA DE RETENÇÃO HORIZONTAL, DE BRONZE, ROSCÁVEL, 1" - FORNECIMENTO E INSTALAÇÃO. AF_08/2021</v>
          </cell>
          <cell r="K5019" t="str">
            <v>133,58</v>
          </cell>
        </row>
        <row r="5020">
          <cell r="G5020" t="str">
            <v>99621</v>
          </cell>
          <cell r="H5020" t="str">
            <v>VÁLVULA DE RETENÇÃO HORIZONTAL, DE BRONZE, ROSCÁVEL, 1 1/4" - FORNECIMENTO E INSTALAÇÃO. AF_08/2021</v>
          </cell>
          <cell r="K5020" t="str">
            <v>199,13</v>
          </cell>
        </row>
        <row r="5021">
          <cell r="G5021" t="str">
            <v>99622</v>
          </cell>
          <cell r="H5021" t="str">
            <v>VÁLVULA DE RETENÇÃO HORIZONTAL, DE BRONZE, ROSCÁVEL, 1 1/2"  - FORNECIMENTO E INSTALAÇÃO. AF_08/2021</v>
          </cell>
          <cell r="K5021" t="str">
            <v>224,03</v>
          </cell>
        </row>
        <row r="5022">
          <cell r="G5022" t="str">
            <v>99623</v>
          </cell>
          <cell r="H5022" t="str">
            <v>VÁLVULA DE RETENÇÃO HORIZONTAL, DE BRONZE, ROSCÁVEL, 2"  - FORNECIMENTO E INSTALAÇÃO. AF_08/2021</v>
          </cell>
          <cell r="K5022" t="str">
            <v>312,69</v>
          </cell>
        </row>
        <row r="5023">
          <cell r="G5023" t="str">
            <v>99624</v>
          </cell>
          <cell r="H5023" t="str">
            <v>VÁLVULA DE RETENÇÃO HORIZONTAL, DE BRONZE, ROSCÁVEL, 2 1/2" - FORNECIMENTO E INSTALAÇÃO. AF_08/2021</v>
          </cell>
          <cell r="K5023" t="str">
            <v>445,88</v>
          </cell>
        </row>
        <row r="5024">
          <cell r="G5024" t="str">
            <v>99625</v>
          </cell>
          <cell r="H5024" t="str">
            <v>VÁLVULA DE RETENÇÃO HORIZONTAL, DE BRONZE, ROSCÁVEL, 3" - FORNECIMENTO E INSTALAÇÃO. AF_08/2021</v>
          </cell>
          <cell r="K5024" t="str">
            <v>613,47</v>
          </cell>
        </row>
        <row r="5025">
          <cell r="G5025" t="str">
            <v>99626</v>
          </cell>
          <cell r="H5025" t="str">
            <v>VÁLVULA DE RETENÇÃO HORIZONTAL, DE BRONZE, ROSCÁVEL, 4" - FORNECIMENTO E INSTALAÇÃO. AF_08/2021</v>
          </cell>
          <cell r="K5025" t="str">
            <v>945,03</v>
          </cell>
        </row>
        <row r="5026">
          <cell r="G5026" t="str">
            <v>99627</v>
          </cell>
          <cell r="H5026" t="str">
            <v>VÁLVULA DE RETENÇÃO VERTICAL, DE BRONZE, ROSCÁVEL, 1/2" - FORNECIMENTO E INSTALAÇÃO. AF_08/2021</v>
          </cell>
          <cell r="K5026" t="str">
            <v>59,32</v>
          </cell>
        </row>
        <row r="5027">
          <cell r="G5027" t="str">
            <v>99628</v>
          </cell>
          <cell r="H5027" t="str">
            <v>VÁLVULA DE RETENÇÃO VERTICAL, DE BRONZE, ROSCÁVEL, 3/4" - FORNECIMENTO E INSTALAÇÃO. AF_08/2021</v>
          </cell>
          <cell r="K5027" t="str">
            <v>64,63</v>
          </cell>
        </row>
        <row r="5028">
          <cell r="H5028" t="str">
            <v>VÁLVULA DE RETENÇÃO VERTICAL, DE BRONZE, ROSCÁVEL, 1" - FORNECIMENTO E INSTALAÇÃO. AF_08/2021</v>
          </cell>
          <cell r="K5028" t="str">
            <v>71,75</v>
          </cell>
        </row>
        <row r="5029">
          <cell r="H5029" t="str">
            <v>VÁLVULA DE RETENÇÃO VERTICAL, DE BRONZE, ROSCÁVEL, 1 1/4" - FORNECIMENTO E INSTALAÇÃO. AF_08/2021</v>
          </cell>
          <cell r="K5029" t="str">
            <v>106,79</v>
          </cell>
        </row>
        <row r="5030">
          <cell r="H5030" t="str">
            <v>VÁLVULA DE RETENÇÃO VERTICAL, DE BRONZE, ROSCÁVEL, 1 1/2" - FORNECIMENTO E INSTALAÇÃO. AF_08/2021</v>
          </cell>
          <cell r="K5030" t="str">
            <v>124,23</v>
          </cell>
        </row>
        <row r="5031">
          <cell r="H5031" t="str">
            <v>VÁLVULA DE RETENÇÃO VERTICAL, DE BRONZE, ROSCÁVEL, 2" - FORNECIMENTO E INSTALAÇÃO. AF_08/2021</v>
          </cell>
          <cell r="K5031" t="str">
            <v>179,24</v>
          </cell>
        </row>
        <row r="5032">
          <cell r="H5032" t="str">
            <v>VÁLVULA DE RETENÇÃO VERTICAL, DE BRONZE, ROSCÁVEL, 3" - FORNECIMENTO E INSTALAÇÃO. AF_08/2021</v>
          </cell>
          <cell r="K5032" t="str">
            <v>385,15</v>
          </cell>
        </row>
        <row r="5033">
          <cell r="H5033" t="str">
            <v>VÁLVULA DE RETENÇÃO VERTICAL, DE BRONZE, ROSCÁVEL, 4" - FORNECIMENTO E INSTALAÇÃO. AF_08/2021</v>
          </cell>
          <cell r="K5033" t="str">
            <v>657,75</v>
          </cell>
        </row>
        <row r="5046">
          <cell r="H5046" t="str">
            <v>REGISTRO OU VÁLVULA GLOBO ANGULAR EM LATÃO, PARA HIDRANTES EM INSTALAÇÃO PREDIAL DE INCÊNDIO, 45 GRAUS, 2 1/2" - FORNECIMENTO E INSTALAÇÃO. AF_08/2021</v>
          </cell>
          <cell r="K5046" t="str">
            <v>173,31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- CAPS"/>
      <sheetName val="CRONOGRAMA - CAPS"/>
      <sheetName val="COMPOSIÇÕES"/>
      <sheetName val="LISTA DE MATERIAL"/>
      <sheetName val="Plan1"/>
      <sheetName val="Composições Geral"/>
      <sheetName val="PLANILHA DE MEDICAO"/>
      <sheetName val="MEMÓRIA CÁLCULO"/>
      <sheetName val="CRONOGRAMA"/>
    </sheetNames>
    <sheetDataSet>
      <sheetData sheetId="0" refreshError="1">
        <row r="15">
          <cell r="A15">
            <v>1</v>
          </cell>
        </row>
        <row r="24">
          <cell r="A24">
            <v>2</v>
          </cell>
        </row>
        <row r="30">
          <cell r="A30">
            <v>3</v>
          </cell>
        </row>
        <row r="39">
          <cell r="A39">
            <v>4</v>
          </cell>
        </row>
        <row r="49">
          <cell r="A49">
            <v>5</v>
          </cell>
        </row>
        <row r="57">
          <cell r="A57">
            <v>6</v>
          </cell>
        </row>
        <row r="62">
          <cell r="A62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30F12-CC57-4A52-9E04-4FA1C262F2FC}">
  <sheetPr>
    <tabColor rgb="FFFFFF00"/>
  </sheetPr>
  <dimension ref="A1:P28"/>
  <sheetViews>
    <sheetView view="pageBreakPreview" zoomScaleNormal="115" zoomScaleSheetLayoutView="100" workbookViewId="0">
      <selection activeCell="A11" sqref="A11:G11"/>
    </sheetView>
  </sheetViews>
  <sheetFormatPr defaultColWidth="9.1796875" defaultRowHeight="14.5" x14ac:dyDescent="0.35"/>
  <cols>
    <col min="1" max="1" width="10.36328125" style="37" customWidth="1"/>
    <col min="2" max="2" width="6.81640625" style="1" customWidth="1"/>
    <col min="3" max="3" width="7.26953125" style="1" customWidth="1"/>
    <col min="4" max="4" width="74" customWidth="1"/>
    <col min="5" max="5" width="17.90625" style="1" customWidth="1"/>
    <col min="6" max="6" width="17.36328125" style="115" customWidth="1"/>
    <col min="7" max="7" width="17.54296875" style="1" bestFit="1" customWidth="1"/>
    <col min="9" max="9" width="8.1796875" customWidth="1"/>
    <col min="15" max="15" width="11.36328125" bestFit="1" customWidth="1"/>
  </cols>
  <sheetData>
    <row r="1" spans="1:7" ht="14.5" customHeight="1" thickBot="1" x14ac:dyDescent="0.4">
      <c r="A1" s="362" t="s">
        <v>125</v>
      </c>
      <c r="B1" s="362"/>
      <c r="C1" s="362"/>
      <c r="D1" s="362"/>
      <c r="E1" s="362"/>
      <c r="F1" s="362"/>
      <c r="G1" s="362"/>
    </row>
    <row r="2" spans="1:7" ht="15" thickBot="1" x14ac:dyDescent="0.4">
      <c r="A2" s="362"/>
      <c r="B2" s="362"/>
      <c r="C2" s="362"/>
      <c r="D2" s="362"/>
      <c r="E2" s="362"/>
      <c r="F2" s="362"/>
      <c r="G2" s="362"/>
    </row>
    <row r="3" spans="1:7" ht="76" customHeight="1" thickBot="1" x14ac:dyDescent="0.4">
      <c r="A3" s="362"/>
      <c r="B3" s="362"/>
      <c r="C3" s="362"/>
      <c r="D3" s="362"/>
      <c r="E3" s="362"/>
      <c r="F3" s="362"/>
      <c r="G3" s="362"/>
    </row>
    <row r="4" spans="1:7" ht="15" thickBot="1" x14ac:dyDescent="0.4">
      <c r="A4" s="362"/>
      <c r="B4" s="362"/>
      <c r="C4" s="362"/>
      <c r="D4" s="362"/>
      <c r="E4" s="362"/>
      <c r="F4" s="362"/>
      <c r="G4" s="362"/>
    </row>
    <row r="5" spans="1:7" ht="4" customHeight="1" thickBot="1" x14ac:dyDescent="0.4">
      <c r="A5" s="36"/>
      <c r="B5" s="28"/>
      <c r="C5" s="28"/>
      <c r="D5" s="29"/>
      <c r="E5" s="28"/>
      <c r="F5" s="28"/>
      <c r="G5" s="30"/>
    </row>
    <row r="6" spans="1:7" ht="33.5" customHeight="1" thickBot="1" x14ac:dyDescent="0.4">
      <c r="A6" s="363" t="s">
        <v>490</v>
      </c>
      <c r="B6" s="363"/>
      <c r="C6" s="363"/>
      <c r="D6" s="363"/>
      <c r="E6" s="363"/>
      <c r="F6" s="363"/>
      <c r="G6" s="363"/>
    </row>
    <row r="7" spans="1:7" ht="74" customHeight="1" thickBot="1" x14ac:dyDescent="0.4">
      <c r="A7" s="68" t="s">
        <v>0</v>
      </c>
      <c r="B7" s="364" t="s">
        <v>433</v>
      </c>
      <c r="C7" s="365"/>
      <c r="D7" s="365"/>
      <c r="E7" s="365"/>
      <c r="F7" s="365"/>
      <c r="G7" s="366"/>
    </row>
    <row r="8" spans="1:7" ht="24.5" customHeight="1" thickBot="1" x14ac:dyDescent="0.4">
      <c r="A8" s="90" t="s">
        <v>1</v>
      </c>
      <c r="B8" s="367" t="s">
        <v>126</v>
      </c>
      <c r="C8" s="368"/>
      <c r="D8" s="368"/>
      <c r="E8" s="368"/>
      <c r="F8" s="368"/>
      <c r="G8" s="368"/>
    </row>
    <row r="9" spans="1:7" ht="24.5" customHeight="1" thickBot="1" x14ac:dyDescent="0.4">
      <c r="A9" s="90" t="s">
        <v>3</v>
      </c>
      <c r="B9" s="367" t="s">
        <v>149</v>
      </c>
      <c r="C9" s="368"/>
      <c r="D9" s="368"/>
      <c r="E9" s="368"/>
      <c r="F9" s="368"/>
      <c r="G9" s="368"/>
    </row>
    <row r="10" spans="1:7" ht="28.5" customHeight="1" thickBot="1" x14ac:dyDescent="0.4">
      <c r="A10" s="90" t="s">
        <v>4</v>
      </c>
      <c r="B10" s="367" t="s">
        <v>503</v>
      </c>
      <c r="C10" s="368"/>
      <c r="D10" s="368"/>
      <c r="E10" s="369"/>
      <c r="F10" s="351" t="s">
        <v>472</v>
      </c>
      <c r="G10" s="344">
        <f>'Composição BDI'!C14</f>
        <v>0.23350000000000001</v>
      </c>
    </row>
    <row r="11" spans="1:7" s="188" customFormat="1" ht="99" customHeight="1" x14ac:dyDescent="0.35">
      <c r="A11" s="370" t="s">
        <v>502</v>
      </c>
      <c r="B11" s="371"/>
      <c r="C11" s="371"/>
      <c r="D11" s="371"/>
      <c r="E11" s="371"/>
      <c r="F11" s="371"/>
      <c r="G11" s="371"/>
    </row>
    <row r="12" spans="1:7" ht="8" customHeight="1" thickBot="1" x14ac:dyDescent="0.4">
      <c r="A12" s="358"/>
      <c r="B12" s="358"/>
      <c r="C12" s="358"/>
      <c r="D12" s="358"/>
      <c r="E12" s="358"/>
      <c r="F12" s="358"/>
      <c r="G12" s="358"/>
    </row>
    <row r="13" spans="1:7" ht="29.5" customHeight="1" thickBot="1" x14ac:dyDescent="0.4">
      <c r="A13" s="359" t="s">
        <v>473</v>
      </c>
      <c r="B13" s="360"/>
      <c r="C13" s="360"/>
      <c r="D13" s="360"/>
      <c r="E13" s="360"/>
      <c r="F13" s="360"/>
      <c r="G13" s="361"/>
    </row>
    <row r="14" spans="1:7" s="33" customFormat="1" ht="48.5" customHeight="1" x14ac:dyDescent="0.3">
      <c r="A14" s="91" t="s">
        <v>5</v>
      </c>
      <c r="B14" s="379" t="s">
        <v>6</v>
      </c>
      <c r="C14" s="380"/>
      <c r="D14" s="381"/>
      <c r="E14" s="91" t="s">
        <v>493</v>
      </c>
      <c r="F14" s="345" t="s">
        <v>471</v>
      </c>
      <c r="G14" s="91" t="s">
        <v>408</v>
      </c>
    </row>
    <row r="15" spans="1:7" s="13" customFormat="1" ht="3" customHeight="1" x14ac:dyDescent="0.25">
      <c r="A15" s="92"/>
      <c r="B15" s="387"/>
      <c r="C15" s="387"/>
      <c r="D15" s="387"/>
      <c r="E15" s="92"/>
      <c r="F15" s="338"/>
      <c r="G15" s="93"/>
    </row>
    <row r="16" spans="1:7" s="13" customFormat="1" ht="100.5" customHeight="1" x14ac:dyDescent="0.25">
      <c r="A16" s="94">
        <v>1</v>
      </c>
      <c r="B16" s="383" t="s">
        <v>481</v>
      </c>
      <c r="C16" s="383"/>
      <c r="D16" s="383"/>
      <c r="E16" s="94">
        <v>12</v>
      </c>
      <c r="F16" s="342">
        <f>'1. Serviços Manut. PREVENTIVA'!J73</f>
        <v>26057.852499999997</v>
      </c>
      <c r="G16" s="95">
        <f>E16*F16</f>
        <v>312694.23</v>
      </c>
    </row>
    <row r="17" spans="1:16" s="13" customFormat="1" ht="46.5" customHeight="1" x14ac:dyDescent="0.25">
      <c r="A17" s="372" t="s">
        <v>424</v>
      </c>
      <c r="B17" s="373"/>
      <c r="C17" s="373"/>
      <c r="D17" s="373"/>
      <c r="E17" s="373"/>
      <c r="F17" s="374"/>
      <c r="G17" s="352">
        <f>'1. Serviços Manut. PREVENTIVA'!J70</f>
        <v>312694.23</v>
      </c>
    </row>
    <row r="18" spans="1:16" s="13" customFormat="1" ht="8" customHeight="1" thickBot="1" x14ac:dyDescent="0.3">
      <c r="A18" s="388"/>
      <c r="B18" s="389"/>
      <c r="C18" s="389"/>
      <c r="D18" s="389"/>
      <c r="E18" s="389"/>
      <c r="F18" s="389"/>
      <c r="G18" s="390"/>
    </row>
    <row r="19" spans="1:16" s="13" customFormat="1" ht="32" customHeight="1" thickBot="1" x14ac:dyDescent="0.3">
      <c r="A19" s="359" t="s">
        <v>474</v>
      </c>
      <c r="B19" s="360"/>
      <c r="C19" s="360"/>
      <c r="D19" s="360"/>
      <c r="E19" s="360"/>
      <c r="F19" s="360"/>
      <c r="G19" s="361"/>
    </row>
    <row r="20" spans="1:16" s="13" customFormat="1" ht="58.5" customHeight="1" x14ac:dyDescent="0.25">
      <c r="A20" s="91" t="s">
        <v>5</v>
      </c>
      <c r="B20" s="379" t="s">
        <v>6</v>
      </c>
      <c r="C20" s="380"/>
      <c r="D20" s="381"/>
      <c r="E20" s="91" t="s">
        <v>492</v>
      </c>
      <c r="F20" s="345" t="s">
        <v>471</v>
      </c>
      <c r="G20" s="91" t="s">
        <v>408</v>
      </c>
    </row>
    <row r="21" spans="1:16" s="14" customFormat="1" ht="89.5" customHeight="1" x14ac:dyDescent="0.25">
      <c r="A21" s="96">
        <v>2</v>
      </c>
      <c r="B21" s="382" t="s">
        <v>482</v>
      </c>
      <c r="C21" s="382"/>
      <c r="D21" s="382"/>
      <c r="E21" s="96">
        <v>12</v>
      </c>
      <c r="F21" s="343">
        <f>'2 Mão de Obra Manut. Corretiva'!J28</f>
        <v>16188.180833333334</v>
      </c>
      <c r="G21" s="97">
        <f>E21*F21</f>
        <v>194258.17</v>
      </c>
    </row>
    <row r="22" spans="1:16" s="14" customFormat="1" ht="87" customHeight="1" x14ac:dyDescent="0.25">
      <c r="A22" s="94">
        <v>3</v>
      </c>
      <c r="B22" s="383" t="s">
        <v>483</v>
      </c>
      <c r="C22" s="383"/>
      <c r="D22" s="383"/>
      <c r="E22" s="94">
        <v>12</v>
      </c>
      <c r="F22" s="342">
        <f>'3 Serviços Manut. CORRETIVA'!I260</f>
        <v>53677.598333333328</v>
      </c>
      <c r="G22" s="95">
        <f>E22*F22</f>
        <v>644131.17999999993</v>
      </c>
    </row>
    <row r="23" spans="1:16" s="14" customFormat="1" ht="53.5" customHeight="1" x14ac:dyDescent="0.25">
      <c r="A23" s="372" t="s">
        <v>423</v>
      </c>
      <c r="B23" s="373"/>
      <c r="C23" s="373"/>
      <c r="D23" s="373"/>
      <c r="E23" s="373"/>
      <c r="F23" s="374"/>
      <c r="G23" s="352">
        <f>G21+G22</f>
        <v>838389.35</v>
      </c>
      <c r="J23" s="372"/>
      <c r="K23" s="373"/>
      <c r="L23" s="373"/>
      <c r="M23" s="373"/>
      <c r="N23" s="373"/>
      <c r="O23" s="374"/>
      <c r="P23" s="352"/>
    </row>
    <row r="24" spans="1:16" s="14" customFormat="1" ht="3.65" customHeight="1" x14ac:dyDescent="0.25">
      <c r="A24" s="384"/>
      <c r="B24" s="385"/>
      <c r="C24" s="385"/>
      <c r="D24" s="385"/>
      <c r="E24" s="385"/>
      <c r="F24" s="385"/>
      <c r="G24" s="386"/>
    </row>
    <row r="25" spans="1:16" ht="6" customHeight="1" thickBot="1" x14ac:dyDescent="0.4">
      <c r="A25" s="378"/>
      <c r="B25" s="378"/>
      <c r="C25" s="378"/>
      <c r="D25" s="378"/>
      <c r="E25" s="378"/>
      <c r="F25" s="378"/>
      <c r="G25" s="378"/>
    </row>
    <row r="26" spans="1:16" ht="56" customHeight="1" thickBot="1" x14ac:dyDescent="0.4">
      <c r="A26" s="375" t="s">
        <v>491</v>
      </c>
      <c r="B26" s="376"/>
      <c r="C26" s="376"/>
      <c r="D26" s="376"/>
      <c r="E26" s="376"/>
      <c r="F26" s="377"/>
      <c r="G26" s="353">
        <f>G23+G17</f>
        <v>1151083.58</v>
      </c>
    </row>
    <row r="28" spans="1:16" x14ac:dyDescent="0.35">
      <c r="O28" s="341"/>
    </row>
  </sheetData>
  <mergeCells count="23">
    <mergeCell ref="J23:O23"/>
    <mergeCell ref="A26:F26"/>
    <mergeCell ref="A25:G25"/>
    <mergeCell ref="B14:D14"/>
    <mergeCell ref="B21:D21"/>
    <mergeCell ref="B22:D22"/>
    <mergeCell ref="A24:G24"/>
    <mergeCell ref="B16:D16"/>
    <mergeCell ref="B15:D15"/>
    <mergeCell ref="A19:G19"/>
    <mergeCell ref="B20:D20"/>
    <mergeCell ref="A18:G18"/>
    <mergeCell ref="A17:F17"/>
    <mergeCell ref="A23:F23"/>
    <mergeCell ref="A12:G12"/>
    <mergeCell ref="A13:G13"/>
    <mergeCell ref="A1:G4"/>
    <mergeCell ref="A6:G6"/>
    <mergeCell ref="B7:G7"/>
    <mergeCell ref="B8:G8"/>
    <mergeCell ref="B9:G9"/>
    <mergeCell ref="B10:E10"/>
    <mergeCell ref="A11:G11"/>
  </mergeCells>
  <phoneticPr fontId="19" type="noConversion"/>
  <printOptions horizontalCentered="1"/>
  <pageMargins left="0.7" right="0.7" top="0.75" bottom="0.75" header="0.3" footer="0.3"/>
  <pageSetup paperSize="9" scale="52" firstPageNumber="0" orientation="portrait" horizontalDpi="300" verticalDpi="300" r:id="rId1"/>
  <headerFoot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P74"/>
  <sheetViews>
    <sheetView tabSelected="1" view="pageBreakPreview" zoomScaleNormal="115" zoomScaleSheetLayoutView="100" workbookViewId="0">
      <selection activeCell="U61" sqref="U61"/>
    </sheetView>
  </sheetViews>
  <sheetFormatPr defaultColWidth="9.1796875" defaultRowHeight="15.5" x14ac:dyDescent="0.35"/>
  <cols>
    <col min="1" max="1" width="7.1796875" style="1" customWidth="1"/>
    <col min="2" max="2" width="0.36328125" style="1" customWidth="1"/>
    <col min="3" max="3" width="58.54296875" customWidth="1"/>
    <col min="4" max="4" width="14.1796875" style="1" customWidth="1"/>
    <col min="5" max="5" width="12.1796875" style="1" customWidth="1"/>
    <col min="6" max="6" width="6.81640625" style="2" customWidth="1"/>
    <col min="7" max="7" width="11.1796875" style="1" customWidth="1"/>
    <col min="8" max="8" width="13.36328125" style="1" customWidth="1"/>
    <col min="9" max="9" width="17.1796875" style="1" customWidth="1"/>
    <col min="10" max="10" width="19.90625" style="1" customWidth="1"/>
    <col min="11" max="11" width="1.08984375" style="3" hidden="1" customWidth="1"/>
    <col min="12" max="12" width="21.7265625" style="212" hidden="1" customWidth="1"/>
    <col min="13" max="13" width="9.1796875" style="205" hidden="1" customWidth="1"/>
    <col min="14" max="14" width="0.26953125" hidden="1" customWidth="1"/>
    <col min="15" max="15" width="0.1796875" hidden="1" customWidth="1"/>
    <col min="16" max="16" width="9.1796875" hidden="1" customWidth="1"/>
  </cols>
  <sheetData>
    <row r="1" spans="1:15" ht="15.65" customHeight="1" thickBot="1" x14ac:dyDescent="0.4">
      <c r="A1" s="362" t="s">
        <v>17</v>
      </c>
      <c r="B1" s="362"/>
      <c r="C1" s="362"/>
      <c r="D1" s="362"/>
      <c r="E1" s="362"/>
      <c r="F1" s="362"/>
      <c r="G1" s="362"/>
      <c r="H1" s="362"/>
      <c r="I1" s="362"/>
      <c r="J1" s="362"/>
    </row>
    <row r="2" spans="1:15" ht="16" thickBot="1" x14ac:dyDescent="0.4">
      <c r="A2" s="362"/>
      <c r="B2" s="362"/>
      <c r="C2" s="362"/>
      <c r="D2" s="362"/>
      <c r="E2" s="362"/>
      <c r="F2" s="362"/>
      <c r="G2" s="362"/>
      <c r="H2" s="362"/>
      <c r="I2" s="362"/>
      <c r="J2" s="362"/>
    </row>
    <row r="3" spans="1:15" ht="76" customHeight="1" thickBot="1" x14ac:dyDescent="0.4">
      <c r="A3" s="362"/>
      <c r="B3" s="362"/>
      <c r="C3" s="362"/>
      <c r="D3" s="362"/>
      <c r="E3" s="362"/>
      <c r="F3" s="362"/>
      <c r="G3" s="362"/>
      <c r="H3" s="362"/>
      <c r="I3" s="362"/>
      <c r="J3" s="362"/>
    </row>
    <row r="4" spans="1:15" ht="16" thickBot="1" x14ac:dyDescent="0.4">
      <c r="A4" s="362"/>
      <c r="B4" s="362"/>
      <c r="C4" s="362"/>
      <c r="D4" s="362"/>
      <c r="E4" s="362"/>
      <c r="F4" s="362"/>
      <c r="G4" s="362"/>
      <c r="H4" s="362"/>
      <c r="I4" s="362"/>
      <c r="J4" s="362"/>
    </row>
    <row r="5" spans="1:15" ht="1" customHeight="1" thickBot="1" x14ac:dyDescent="0.4">
      <c r="A5" s="405"/>
      <c r="B5" s="405"/>
      <c r="C5" s="405"/>
      <c r="D5" s="405"/>
      <c r="E5" s="405"/>
      <c r="F5" s="405"/>
      <c r="G5" s="405"/>
      <c r="H5" s="405"/>
      <c r="I5" s="405"/>
      <c r="J5" s="405"/>
    </row>
    <row r="6" spans="1:15" ht="24" customHeight="1" thickBot="1" x14ac:dyDescent="0.4">
      <c r="A6" s="406" t="s">
        <v>432</v>
      </c>
      <c r="B6" s="406"/>
      <c r="C6" s="406"/>
      <c r="D6" s="406"/>
      <c r="E6" s="406"/>
      <c r="F6" s="406"/>
      <c r="G6" s="406"/>
      <c r="H6" s="406"/>
      <c r="I6" s="406"/>
      <c r="J6" s="406"/>
    </row>
    <row r="7" spans="1:15" ht="60.5" customHeight="1" thickBot="1" x14ac:dyDescent="0.4">
      <c r="A7" s="68" t="s">
        <v>0</v>
      </c>
      <c r="B7" s="408" t="s">
        <v>433</v>
      </c>
      <c r="C7" s="408"/>
      <c r="D7" s="408"/>
      <c r="E7" s="408"/>
      <c r="F7" s="408"/>
      <c r="G7" s="408"/>
      <c r="H7" s="408"/>
      <c r="I7" s="408"/>
      <c r="J7" s="408"/>
    </row>
    <row r="8" spans="1:15" ht="22.5" customHeight="1" thickBot="1" x14ac:dyDescent="0.4">
      <c r="A8" s="68" t="s">
        <v>1</v>
      </c>
      <c r="B8" s="396" t="s">
        <v>2</v>
      </c>
      <c r="C8" s="396"/>
      <c r="D8" s="396"/>
      <c r="E8" s="396"/>
      <c r="F8" s="407" t="s">
        <v>130</v>
      </c>
      <c r="G8" s="407"/>
      <c r="H8" s="407"/>
      <c r="I8" s="407"/>
      <c r="J8" s="69" t="s">
        <v>25</v>
      </c>
    </row>
    <row r="9" spans="1:15" ht="18.5" customHeight="1" thickBot="1" x14ac:dyDescent="0.4">
      <c r="A9" s="68" t="s">
        <v>3</v>
      </c>
      <c r="B9" s="396" t="s">
        <v>149</v>
      </c>
      <c r="C9" s="396"/>
      <c r="D9" s="396"/>
      <c r="E9" s="396"/>
      <c r="F9" s="397" t="s">
        <v>45</v>
      </c>
      <c r="G9" s="397"/>
      <c r="H9" s="397"/>
      <c r="I9" s="397"/>
      <c r="J9" s="350">
        <f>'Composição BDI'!C14</f>
        <v>0.23350000000000001</v>
      </c>
    </row>
    <row r="10" spans="1:15" ht="21" customHeight="1" thickBot="1" x14ac:dyDescent="0.4">
      <c r="A10" s="68" t="s">
        <v>4</v>
      </c>
      <c r="B10" s="396" t="s">
        <v>163</v>
      </c>
      <c r="C10" s="396"/>
      <c r="D10" s="396"/>
      <c r="E10" s="396"/>
      <c r="F10" s="401"/>
      <c r="G10" s="401"/>
      <c r="H10" s="401"/>
      <c r="I10" s="401"/>
      <c r="J10" s="401"/>
    </row>
    <row r="11" spans="1:15" s="188" customFormat="1" ht="21" customHeight="1" thickBot="1" x14ac:dyDescent="0.4">
      <c r="A11" s="402" t="s">
        <v>486</v>
      </c>
      <c r="B11" s="403"/>
      <c r="C11" s="403"/>
      <c r="D11" s="403"/>
      <c r="E11" s="403"/>
      <c r="F11" s="403"/>
      <c r="G11" s="403"/>
      <c r="H11" s="403"/>
      <c r="I11" s="403"/>
      <c r="J11" s="404"/>
      <c r="K11" s="3"/>
      <c r="L11" s="212"/>
      <c r="M11" s="205"/>
    </row>
    <row r="12" spans="1:15" ht="27" customHeight="1" thickBot="1" x14ac:dyDescent="0.4">
      <c r="A12" s="398" t="s">
        <v>418</v>
      </c>
      <c r="B12" s="398"/>
      <c r="C12" s="398"/>
      <c r="D12" s="398"/>
      <c r="E12" s="398"/>
      <c r="F12" s="398"/>
      <c r="G12" s="398"/>
      <c r="H12" s="398"/>
      <c r="I12" s="398"/>
      <c r="J12" s="398"/>
    </row>
    <row r="13" spans="1:15" ht="27" customHeight="1" thickBot="1" x14ac:dyDescent="0.4">
      <c r="A13" s="399" t="s">
        <v>123</v>
      </c>
      <c r="B13" s="399"/>
      <c r="C13" s="399"/>
      <c r="D13" s="59" t="s">
        <v>46</v>
      </c>
      <c r="E13" s="400" t="s">
        <v>47</v>
      </c>
      <c r="F13" s="400"/>
      <c r="G13" s="400"/>
      <c r="H13" s="400" t="s">
        <v>48</v>
      </c>
      <c r="I13" s="400"/>
      <c r="J13" s="400"/>
      <c r="K13" s="395"/>
      <c r="L13" s="395"/>
    </row>
    <row r="14" spans="1:15" s="10" customFormat="1" ht="58.5" thickBot="1" x14ac:dyDescent="0.35">
      <c r="A14" s="71" t="s">
        <v>5</v>
      </c>
      <c r="B14" s="71"/>
      <c r="C14" s="71" t="s">
        <v>6</v>
      </c>
      <c r="D14" s="71" t="s">
        <v>49</v>
      </c>
      <c r="E14" s="71" t="s">
        <v>428</v>
      </c>
      <c r="F14" s="72" t="s">
        <v>427</v>
      </c>
      <c r="G14" s="71" t="s">
        <v>426</v>
      </c>
      <c r="H14" s="346" t="s">
        <v>425</v>
      </c>
      <c r="I14" s="71" t="s">
        <v>132</v>
      </c>
      <c r="J14" s="71" t="s">
        <v>429</v>
      </c>
      <c r="K14" s="8" t="s">
        <v>50</v>
      </c>
      <c r="L14" s="213" t="s">
        <v>51</v>
      </c>
      <c r="M14" s="214" t="s">
        <v>52</v>
      </c>
      <c r="N14" s="9" t="s">
        <v>53</v>
      </c>
      <c r="O14" s="9" t="s">
        <v>54</v>
      </c>
    </row>
    <row r="15" spans="1:15" s="87" customFormat="1" ht="20" customHeight="1" thickBot="1" x14ac:dyDescent="0.4">
      <c r="A15" s="394" t="s">
        <v>435</v>
      </c>
      <c r="B15" s="394"/>
      <c r="C15" s="394"/>
      <c r="D15" s="394"/>
      <c r="E15" s="394"/>
      <c r="F15" s="394"/>
      <c r="G15" s="394"/>
      <c r="H15" s="394"/>
      <c r="I15" s="394"/>
      <c r="J15" s="394"/>
      <c r="K15" s="70" t="s">
        <v>52</v>
      </c>
      <c r="L15" s="215"/>
      <c r="M15" s="216">
        <v>12</v>
      </c>
      <c r="N15" s="63">
        <v>2</v>
      </c>
      <c r="O15" s="63">
        <v>1</v>
      </c>
    </row>
    <row r="16" spans="1:15" s="87" customFormat="1" ht="30" customHeight="1" thickBot="1" x14ac:dyDescent="0.4">
      <c r="A16" s="84">
        <v>1</v>
      </c>
      <c r="B16" s="394" t="s">
        <v>55</v>
      </c>
      <c r="C16" s="394"/>
      <c r="D16" s="394"/>
      <c r="E16" s="394"/>
      <c r="F16" s="394"/>
      <c r="G16" s="394"/>
      <c r="H16" s="394"/>
      <c r="I16" s="394"/>
      <c r="J16" s="85">
        <f>SUM(J17:J26)</f>
        <v>33516.44</v>
      </c>
      <c r="K16" s="70"/>
      <c r="L16" s="217"/>
      <c r="M16" s="218"/>
    </row>
    <row r="17" spans="1:15" s="14" customFormat="1" ht="59" customHeight="1" x14ac:dyDescent="0.25">
      <c r="A17" s="40" t="s">
        <v>9</v>
      </c>
      <c r="B17" s="40"/>
      <c r="C17" s="39" t="s">
        <v>56</v>
      </c>
      <c r="D17" s="42" t="str">
        <f>M14</f>
        <v>Mensal</v>
      </c>
      <c r="E17" s="42">
        <v>15</v>
      </c>
      <c r="F17" s="43">
        <v>0.25</v>
      </c>
      <c r="G17" s="42">
        <f t="shared" ref="G17:G26" si="0">ROUND(E17*F17,2)</f>
        <v>3.75</v>
      </c>
      <c r="H17" s="42">
        <f>'4 -Composição_Equipe Preventiva'!H21</f>
        <v>48.15</v>
      </c>
      <c r="I17" s="44">
        <f t="shared" ref="I17:I26" si="1">ROUND(G17*H17*(1+BDI),2)</f>
        <v>222.72</v>
      </c>
      <c r="J17" s="45">
        <f>ROUND(I17*Mensal,2)</f>
        <v>2672.64</v>
      </c>
      <c r="K17" s="11">
        <f>J17+J18+J19+J20</f>
        <v>11581.56</v>
      </c>
      <c r="L17" s="215">
        <f>K17/12</f>
        <v>965.13</v>
      </c>
      <c r="M17" s="219">
        <f>L17/J16</f>
        <v>2.8795719354442174E-2</v>
      </c>
      <c r="N17" s="211"/>
      <c r="O17" s="211"/>
    </row>
    <row r="18" spans="1:15" s="13" customFormat="1" ht="32.15" customHeight="1" x14ac:dyDescent="0.25">
      <c r="A18" s="40" t="s">
        <v>14</v>
      </c>
      <c r="B18" s="41"/>
      <c r="C18" s="46" t="s">
        <v>57</v>
      </c>
      <c r="D18" s="42" t="s">
        <v>52</v>
      </c>
      <c r="E18" s="42">
        <v>5</v>
      </c>
      <c r="F18" s="47">
        <v>0.5</v>
      </c>
      <c r="G18" s="42">
        <f t="shared" si="0"/>
        <v>2.5</v>
      </c>
      <c r="H18" s="42">
        <f>'4 -Composição_Equipe Preventiva'!H21</f>
        <v>48.15</v>
      </c>
      <c r="I18" s="44">
        <f t="shared" si="1"/>
        <v>148.47999999999999</v>
      </c>
      <c r="J18" s="45">
        <f>ROUND(I18*Mensal,2)</f>
        <v>1781.76</v>
      </c>
      <c r="K18" s="11">
        <f>J21+J22+J23+J24</f>
        <v>13738.64</v>
      </c>
      <c r="L18" s="215">
        <f>K18/2</f>
        <v>6869.32</v>
      </c>
      <c r="M18" s="219">
        <f>L18/J16</f>
        <v>0.20495374807109584</v>
      </c>
      <c r="N18" s="210"/>
    </row>
    <row r="19" spans="1:15" s="13" customFormat="1" ht="72.5" x14ac:dyDescent="0.25">
      <c r="A19" s="40" t="s">
        <v>15</v>
      </c>
      <c r="B19" s="41"/>
      <c r="C19" s="46" t="s">
        <v>58</v>
      </c>
      <c r="D19" s="42" t="s">
        <v>52</v>
      </c>
      <c r="E19" s="42">
        <v>5</v>
      </c>
      <c r="F19" s="47">
        <v>0.5</v>
      </c>
      <c r="G19" s="42">
        <f t="shared" si="0"/>
        <v>2.5</v>
      </c>
      <c r="H19" s="42">
        <f>'4 -Composição_Equipe Preventiva'!H21</f>
        <v>48.15</v>
      </c>
      <c r="I19" s="44">
        <f t="shared" si="1"/>
        <v>148.47999999999999</v>
      </c>
      <c r="J19" s="45">
        <f>ROUND(I19*Mensal,2)</f>
        <v>1781.76</v>
      </c>
      <c r="K19" s="11">
        <f>J25+J26</f>
        <v>8196.24</v>
      </c>
      <c r="L19" s="215">
        <f>K19/1</f>
        <v>8196.24</v>
      </c>
      <c r="M19" s="219">
        <f>L19/J16</f>
        <v>0.24454387160450214</v>
      </c>
    </row>
    <row r="20" spans="1:15" s="13" customFormat="1" ht="78" customHeight="1" x14ac:dyDescent="0.25">
      <c r="A20" s="40" t="s">
        <v>16</v>
      </c>
      <c r="B20" s="41"/>
      <c r="C20" s="46" t="s">
        <v>59</v>
      </c>
      <c r="D20" s="42" t="s">
        <v>52</v>
      </c>
      <c r="E20" s="42">
        <v>15</v>
      </c>
      <c r="F20" s="47">
        <v>0.5</v>
      </c>
      <c r="G20" s="42">
        <f t="shared" si="0"/>
        <v>7.5</v>
      </c>
      <c r="H20" s="42">
        <f>'4 -Composição_Equipe Preventiva'!H21</f>
        <v>48.15</v>
      </c>
      <c r="I20" s="44">
        <f t="shared" si="1"/>
        <v>445.45</v>
      </c>
      <c r="J20" s="45">
        <f>ROUND(I20*Mensal,2)</f>
        <v>5345.4</v>
      </c>
      <c r="K20" s="11"/>
      <c r="L20" s="220"/>
      <c r="M20" s="221"/>
    </row>
    <row r="21" spans="1:15" s="13" customFormat="1" ht="50.5" customHeight="1" x14ac:dyDescent="0.25">
      <c r="A21" s="40" t="s">
        <v>60</v>
      </c>
      <c r="B21" s="41"/>
      <c r="C21" s="46" t="s">
        <v>61</v>
      </c>
      <c r="D21" s="42" t="s">
        <v>53</v>
      </c>
      <c r="E21" s="42">
        <v>15</v>
      </c>
      <c r="F21" s="47">
        <v>0.2</v>
      </c>
      <c r="G21" s="42">
        <f t="shared" si="0"/>
        <v>3</v>
      </c>
      <c r="H21" s="42">
        <f>'4 -Composição_Equipe Preventiva'!H30</f>
        <v>48.45</v>
      </c>
      <c r="I21" s="44">
        <f t="shared" si="1"/>
        <v>179.29</v>
      </c>
      <c r="J21" s="45">
        <f>ROUND(I21*Semestral,2)</f>
        <v>358.58</v>
      </c>
      <c r="K21" s="11"/>
      <c r="L21" s="215"/>
      <c r="M21" s="221"/>
    </row>
    <row r="22" spans="1:15" s="13" customFormat="1" ht="29" x14ac:dyDescent="0.25">
      <c r="A22" s="40" t="s">
        <v>62</v>
      </c>
      <c r="B22" s="41"/>
      <c r="C22" s="46" t="s">
        <v>63</v>
      </c>
      <c r="D22" s="42" t="s">
        <v>53</v>
      </c>
      <c r="E22" s="42">
        <v>92</v>
      </c>
      <c r="F22" s="47">
        <v>0.17</v>
      </c>
      <c r="G22" s="42">
        <f t="shared" si="0"/>
        <v>15.64</v>
      </c>
      <c r="H22" s="42">
        <f>'4 -Composição_Equipe Preventiva'!H21</f>
        <v>48.15</v>
      </c>
      <c r="I22" s="44">
        <f t="shared" si="1"/>
        <v>928.91</v>
      </c>
      <c r="J22" s="45">
        <f>ROUND(I22*Semestral,2)</f>
        <v>1857.82</v>
      </c>
      <c r="K22" s="11"/>
      <c r="L22" s="215"/>
      <c r="M22" s="221"/>
    </row>
    <row r="23" spans="1:15" s="13" customFormat="1" ht="46.5" customHeight="1" x14ac:dyDescent="0.25">
      <c r="A23" s="40" t="s">
        <v>64</v>
      </c>
      <c r="B23" s="41"/>
      <c r="C23" s="46" t="s">
        <v>65</v>
      </c>
      <c r="D23" s="42" t="s">
        <v>53</v>
      </c>
      <c r="E23" s="42">
        <v>102</v>
      </c>
      <c r="F23" s="47">
        <v>0.5</v>
      </c>
      <c r="G23" s="42">
        <f t="shared" si="0"/>
        <v>51</v>
      </c>
      <c r="H23" s="42">
        <f>'4 -Composição_Equipe Preventiva'!H21</f>
        <v>48.15</v>
      </c>
      <c r="I23" s="44">
        <f t="shared" si="1"/>
        <v>3029.04</v>
      </c>
      <c r="J23" s="45">
        <f>ROUND(I23*Semestral,2)</f>
        <v>6058.08</v>
      </c>
      <c r="K23" s="11"/>
      <c r="L23" s="215"/>
      <c r="M23" s="221"/>
    </row>
    <row r="24" spans="1:15" s="13" customFormat="1" ht="18.5" customHeight="1" x14ac:dyDescent="0.25">
      <c r="A24" s="40" t="s">
        <v>66</v>
      </c>
      <c r="B24" s="41"/>
      <c r="C24" s="46" t="s">
        <v>67</v>
      </c>
      <c r="D24" s="42" t="s">
        <v>53</v>
      </c>
      <c r="E24" s="42">
        <v>92</v>
      </c>
      <c r="F24" s="47">
        <v>0.5</v>
      </c>
      <c r="G24" s="42">
        <f t="shared" si="0"/>
        <v>46</v>
      </c>
      <c r="H24" s="42">
        <f>'4 -Composição_Equipe Preventiva'!H21</f>
        <v>48.15</v>
      </c>
      <c r="I24" s="44">
        <f t="shared" si="1"/>
        <v>2732.08</v>
      </c>
      <c r="J24" s="45">
        <f>ROUND(I24*Semestral,2)</f>
        <v>5464.16</v>
      </c>
      <c r="K24" s="11"/>
      <c r="L24" s="215"/>
      <c r="M24" s="221"/>
    </row>
    <row r="25" spans="1:15" s="13" customFormat="1" ht="34.5" customHeight="1" x14ac:dyDescent="0.25">
      <c r="A25" s="40" t="s">
        <v>68</v>
      </c>
      <c r="B25" s="41"/>
      <c r="C25" s="46" t="s">
        <v>69</v>
      </c>
      <c r="D25" s="42" t="s">
        <v>54</v>
      </c>
      <c r="E25" s="42">
        <v>92</v>
      </c>
      <c r="F25" s="47">
        <v>1</v>
      </c>
      <c r="G25" s="42">
        <f t="shared" si="0"/>
        <v>92</v>
      </c>
      <c r="H25" s="42">
        <f>'4 -Composição_Equipe Preventiva'!H21</f>
        <v>48.15</v>
      </c>
      <c r="I25" s="44">
        <f t="shared" si="1"/>
        <v>5464.16</v>
      </c>
      <c r="J25" s="45">
        <f>ROUND(I25*Anual,2)</f>
        <v>5464.16</v>
      </c>
      <c r="K25" s="11"/>
      <c r="L25" s="215"/>
      <c r="M25" s="221"/>
    </row>
    <row r="26" spans="1:15" s="13" customFormat="1" ht="66.5" customHeight="1" x14ac:dyDescent="0.25">
      <c r="A26" s="40" t="s">
        <v>70</v>
      </c>
      <c r="B26" s="41"/>
      <c r="C26" s="46" t="s">
        <v>71</v>
      </c>
      <c r="D26" s="42" t="s">
        <v>54</v>
      </c>
      <c r="E26" s="48">
        <v>92</v>
      </c>
      <c r="F26" s="47">
        <v>0.5</v>
      </c>
      <c r="G26" s="42">
        <f t="shared" si="0"/>
        <v>46</v>
      </c>
      <c r="H26" s="42">
        <f>'4 -Composição_Equipe Preventiva'!H21</f>
        <v>48.15</v>
      </c>
      <c r="I26" s="44">
        <f t="shared" si="1"/>
        <v>2732.08</v>
      </c>
      <c r="J26" s="45">
        <f>ROUND(I26*Anual,2)</f>
        <v>2732.08</v>
      </c>
      <c r="K26" s="11"/>
      <c r="L26" s="215"/>
      <c r="M26" s="221"/>
    </row>
    <row r="27" spans="1:15" s="17" customFormat="1" ht="5.15" customHeight="1" thickBot="1" x14ac:dyDescent="0.3">
      <c r="A27" s="73"/>
      <c r="B27" s="73"/>
      <c r="C27" s="74"/>
      <c r="D27" s="75"/>
      <c r="E27" s="75"/>
      <c r="F27" s="76"/>
      <c r="G27" s="75"/>
      <c r="H27" s="75"/>
      <c r="I27" s="77"/>
      <c r="J27" s="77"/>
      <c r="K27" s="15"/>
      <c r="L27" s="222"/>
      <c r="M27" s="223"/>
    </row>
    <row r="28" spans="1:15" s="87" customFormat="1" ht="30" customHeight="1" thickBot="1" x14ac:dyDescent="0.4">
      <c r="A28" s="196">
        <v>2</v>
      </c>
      <c r="B28" s="84"/>
      <c r="C28" s="394" t="s">
        <v>72</v>
      </c>
      <c r="D28" s="394"/>
      <c r="E28" s="394"/>
      <c r="F28" s="394"/>
      <c r="G28" s="394"/>
      <c r="H28" s="394"/>
      <c r="I28" s="394"/>
      <c r="J28" s="86">
        <f>SUM(J29:J36)</f>
        <v>61525.600000000006</v>
      </c>
      <c r="K28" s="70"/>
      <c r="L28" s="215"/>
      <c r="M28" s="218"/>
    </row>
    <row r="29" spans="1:15" s="13" customFormat="1" ht="43.5" x14ac:dyDescent="0.25">
      <c r="A29" s="40" t="s">
        <v>10</v>
      </c>
      <c r="B29" s="40"/>
      <c r="C29" s="39" t="s">
        <v>73</v>
      </c>
      <c r="D29" s="42" t="s">
        <v>52</v>
      </c>
      <c r="E29" s="42">
        <v>15</v>
      </c>
      <c r="F29" s="43">
        <v>0.5</v>
      </c>
      <c r="G29" s="42">
        <f t="shared" ref="G29:G36" si="2">ROUND(E29*F29,2)</f>
        <v>7.5</v>
      </c>
      <c r="H29" s="42">
        <f>'4 -Composição_Equipe Preventiva'!H21</f>
        <v>48.15</v>
      </c>
      <c r="I29" s="44">
        <f t="shared" ref="I29:I36" si="3">ROUND(G29*H29*(1+BDI),2)</f>
        <v>445.45</v>
      </c>
      <c r="J29" s="49">
        <f>ROUND(I29*Mensal,2)</f>
        <v>5345.4</v>
      </c>
      <c r="K29" s="11">
        <f>SUM(I29:I32)</f>
        <v>4271.55</v>
      </c>
      <c r="L29" s="215"/>
      <c r="M29" s="221"/>
    </row>
    <row r="30" spans="1:15" s="13" customFormat="1" ht="29" x14ac:dyDescent="0.25">
      <c r="A30" s="40" t="s">
        <v>11</v>
      </c>
      <c r="B30" s="41"/>
      <c r="C30" s="50" t="s">
        <v>74</v>
      </c>
      <c r="D30" s="42" t="s">
        <v>52</v>
      </c>
      <c r="E30" s="42">
        <v>5</v>
      </c>
      <c r="F30" s="43">
        <v>0.5</v>
      </c>
      <c r="G30" s="42">
        <f t="shared" si="2"/>
        <v>2.5</v>
      </c>
      <c r="H30" s="42">
        <f>'4 -Composição_Equipe Preventiva'!H21</f>
        <v>48.15</v>
      </c>
      <c r="I30" s="44">
        <f t="shared" si="3"/>
        <v>148.47999999999999</v>
      </c>
      <c r="J30" s="49">
        <f>ROUND(I30*Mensal,2)</f>
        <v>1781.76</v>
      </c>
      <c r="K30" s="11">
        <f>SUM(I33:I36)</f>
        <v>5133.5</v>
      </c>
      <c r="L30" s="215"/>
      <c r="M30" s="221"/>
    </row>
    <row r="31" spans="1:15" s="19" customFormat="1" ht="76.5" customHeight="1" x14ac:dyDescent="0.35">
      <c r="A31" s="40" t="s">
        <v>12</v>
      </c>
      <c r="B31" s="41"/>
      <c r="C31" s="51" t="s">
        <v>58</v>
      </c>
      <c r="D31" s="42" t="s">
        <v>52</v>
      </c>
      <c r="E31" s="42">
        <v>2721</v>
      </c>
      <c r="F31" s="43">
        <v>0.02</v>
      </c>
      <c r="G31" s="42">
        <f t="shared" si="2"/>
        <v>54.42</v>
      </c>
      <c r="H31" s="42">
        <f>'4 -Composição_Equipe Preventiva'!H21</f>
        <v>48.15</v>
      </c>
      <c r="I31" s="44">
        <f t="shared" si="3"/>
        <v>3232.17</v>
      </c>
      <c r="J31" s="49">
        <f>ROUND(I31*Mensal,2)</f>
        <v>38786.04</v>
      </c>
      <c r="K31" s="18"/>
      <c r="L31" s="224"/>
      <c r="M31" s="225"/>
    </row>
    <row r="32" spans="1:15" s="13" customFormat="1" ht="78" customHeight="1" x14ac:dyDescent="0.25">
      <c r="A32" s="40" t="s">
        <v>13</v>
      </c>
      <c r="B32" s="41"/>
      <c r="C32" s="50" t="s">
        <v>59</v>
      </c>
      <c r="D32" s="42" t="s">
        <v>52</v>
      </c>
      <c r="E32" s="42">
        <v>15</v>
      </c>
      <c r="F32" s="43">
        <v>0.5</v>
      </c>
      <c r="G32" s="42">
        <f t="shared" si="2"/>
        <v>7.5</v>
      </c>
      <c r="H32" s="42">
        <f>'4 -Composição_Equipe Preventiva'!H21</f>
        <v>48.15</v>
      </c>
      <c r="I32" s="44">
        <f t="shared" si="3"/>
        <v>445.45</v>
      </c>
      <c r="J32" s="49">
        <f>ROUND(I32*Mensal,2)</f>
        <v>5345.4</v>
      </c>
      <c r="K32" s="11"/>
      <c r="L32" s="215"/>
      <c r="M32" s="221"/>
    </row>
    <row r="33" spans="1:13" s="13" customFormat="1" ht="43.5" x14ac:dyDescent="0.25">
      <c r="A33" s="40" t="s">
        <v>75</v>
      </c>
      <c r="B33" s="41"/>
      <c r="C33" s="50" t="s">
        <v>61</v>
      </c>
      <c r="D33" s="42" t="s">
        <v>53</v>
      </c>
      <c r="E33" s="42">
        <v>2</v>
      </c>
      <c r="F33" s="43">
        <v>1</v>
      </c>
      <c r="G33" s="42">
        <f t="shared" si="2"/>
        <v>2</v>
      </c>
      <c r="H33" s="42">
        <f>'4 -Composição_Equipe Preventiva'!H30</f>
        <v>48.45</v>
      </c>
      <c r="I33" s="44">
        <f t="shared" si="3"/>
        <v>119.53</v>
      </c>
      <c r="J33" s="49">
        <f>ROUND(I33*Semestral,2)</f>
        <v>239.06</v>
      </c>
      <c r="K33" s="11"/>
      <c r="L33" s="215"/>
      <c r="M33" s="221"/>
    </row>
    <row r="34" spans="1:13" s="13" customFormat="1" ht="29" x14ac:dyDescent="0.25">
      <c r="A34" s="40" t="s">
        <v>76</v>
      </c>
      <c r="B34" s="41"/>
      <c r="C34" s="50" t="s">
        <v>77</v>
      </c>
      <c r="D34" s="42" t="s">
        <v>53</v>
      </c>
      <c r="E34" s="42">
        <v>2721</v>
      </c>
      <c r="F34" s="43">
        <v>0.02</v>
      </c>
      <c r="G34" s="42">
        <f t="shared" si="2"/>
        <v>54.42</v>
      </c>
      <c r="H34" s="42">
        <f>'4 -Composição_Equipe Preventiva'!H21</f>
        <v>48.15</v>
      </c>
      <c r="I34" s="44">
        <f t="shared" si="3"/>
        <v>3232.17</v>
      </c>
      <c r="J34" s="49">
        <f>ROUND(I34*Semestral,2)</f>
        <v>6464.34</v>
      </c>
      <c r="K34" s="11"/>
      <c r="L34" s="215"/>
      <c r="M34" s="221"/>
    </row>
    <row r="35" spans="1:13" s="13" customFormat="1" ht="64.5" customHeight="1" x14ac:dyDescent="0.25">
      <c r="A35" s="40" t="s">
        <v>78</v>
      </c>
      <c r="B35" s="41"/>
      <c r="C35" s="50" t="s">
        <v>65</v>
      </c>
      <c r="D35" s="42" t="s">
        <v>53</v>
      </c>
      <c r="E35" s="42">
        <v>15</v>
      </c>
      <c r="F35" s="43">
        <v>1</v>
      </c>
      <c r="G35" s="42">
        <f t="shared" si="2"/>
        <v>15</v>
      </c>
      <c r="H35" s="42">
        <f>'4 -Composição_Equipe Preventiva'!H21</f>
        <v>48.15</v>
      </c>
      <c r="I35" s="44">
        <f t="shared" si="3"/>
        <v>890.9</v>
      </c>
      <c r="J35" s="49">
        <f>ROUND(I35*Semestral,2)</f>
        <v>1781.8</v>
      </c>
      <c r="K35" s="11"/>
      <c r="L35" s="215"/>
      <c r="M35" s="221"/>
    </row>
    <row r="36" spans="1:13" s="13" customFormat="1" ht="24.5" customHeight="1" x14ac:dyDescent="0.25">
      <c r="A36" s="40" t="s">
        <v>79</v>
      </c>
      <c r="B36" s="41"/>
      <c r="C36" s="50" t="s">
        <v>67</v>
      </c>
      <c r="D36" s="48" t="s">
        <v>53</v>
      </c>
      <c r="E36" s="48">
        <v>15</v>
      </c>
      <c r="F36" s="43">
        <v>1</v>
      </c>
      <c r="G36" s="42">
        <f t="shared" si="2"/>
        <v>15</v>
      </c>
      <c r="H36" s="42">
        <f>'4 -Composição_Equipe Preventiva'!H21</f>
        <v>48.15</v>
      </c>
      <c r="I36" s="44">
        <f t="shared" si="3"/>
        <v>890.9</v>
      </c>
      <c r="J36" s="49">
        <f>ROUND(I36*Semestral,2)</f>
        <v>1781.8</v>
      </c>
      <c r="K36" s="11"/>
      <c r="L36" s="215"/>
      <c r="M36" s="221"/>
    </row>
    <row r="37" spans="1:13" s="17" customFormat="1" ht="5.15" customHeight="1" thickBot="1" x14ac:dyDescent="0.3">
      <c r="A37" s="73"/>
      <c r="B37" s="73"/>
      <c r="C37" s="74"/>
      <c r="D37" s="75"/>
      <c r="E37" s="75"/>
      <c r="F37" s="76"/>
      <c r="G37" s="75"/>
      <c r="H37" s="75"/>
      <c r="I37" s="77"/>
      <c r="J37" s="78"/>
      <c r="K37" s="15"/>
      <c r="L37" s="222"/>
      <c r="M37" s="223"/>
    </row>
    <row r="38" spans="1:13" s="67" customFormat="1" ht="32.5" customHeight="1" thickBot="1" x14ac:dyDescent="0.4">
      <c r="A38" s="84">
        <v>3</v>
      </c>
      <c r="B38" s="84"/>
      <c r="C38" s="394" t="s">
        <v>80</v>
      </c>
      <c r="D38" s="394"/>
      <c r="E38" s="394"/>
      <c r="F38" s="394"/>
      <c r="G38" s="394"/>
      <c r="H38" s="394"/>
      <c r="I38" s="394"/>
      <c r="J38" s="85">
        <f>SUM(J39:J55)</f>
        <v>105482.01</v>
      </c>
      <c r="K38" s="70"/>
      <c r="L38" s="215"/>
      <c r="M38" s="226"/>
    </row>
    <row r="39" spans="1:13" s="13" customFormat="1" ht="43.5" x14ac:dyDescent="0.25">
      <c r="A39" s="40" t="s">
        <v>38</v>
      </c>
      <c r="B39" s="40"/>
      <c r="C39" s="39" t="s">
        <v>81</v>
      </c>
      <c r="D39" s="42" t="s">
        <v>52</v>
      </c>
      <c r="E39" s="42">
        <v>6</v>
      </c>
      <c r="F39" s="43">
        <v>1</v>
      </c>
      <c r="G39" s="42">
        <f t="shared" ref="G39:G54" si="4">ROUND(E39*F39,2)</f>
        <v>6</v>
      </c>
      <c r="H39" s="42">
        <f>'4 -Composição_Equipe Preventiva'!$H$30</f>
        <v>48.45</v>
      </c>
      <c r="I39" s="44">
        <f t="shared" ref="I39:I54" si="5">ROUND(G39*H39*(1+BDI),2)</f>
        <v>358.58</v>
      </c>
      <c r="J39" s="45">
        <f t="shared" ref="J39:J50" si="6">ROUND(I39*Mensal,2)</f>
        <v>4302.96</v>
      </c>
      <c r="K39" s="11">
        <f>SUM(I39:I50)</f>
        <v>2241.1299999999997</v>
      </c>
      <c r="L39" s="209">
        <f>K39/J38</f>
        <v>2.1246561380466676E-2</v>
      </c>
      <c r="M39" s="221"/>
    </row>
    <row r="40" spans="1:13" s="13" customFormat="1" ht="17.149999999999999" customHeight="1" x14ac:dyDescent="0.25">
      <c r="A40" s="40" t="s">
        <v>40</v>
      </c>
      <c r="B40" s="40"/>
      <c r="C40" s="39" t="s">
        <v>82</v>
      </c>
      <c r="D40" s="42" t="s">
        <v>52</v>
      </c>
      <c r="E40" s="42">
        <v>6</v>
      </c>
      <c r="F40" s="43">
        <v>0.08</v>
      </c>
      <c r="G40" s="42">
        <f t="shared" si="4"/>
        <v>0.48</v>
      </c>
      <c r="H40" s="42">
        <f>'4 -Composição_Equipe Preventiva'!$H$30</f>
        <v>48.45</v>
      </c>
      <c r="I40" s="44">
        <f t="shared" si="5"/>
        <v>28.69</v>
      </c>
      <c r="J40" s="45">
        <f t="shared" si="6"/>
        <v>344.28</v>
      </c>
      <c r="K40" s="11">
        <f>SUM(I51:I53)</f>
        <v>37859.909999999996</v>
      </c>
      <c r="L40" s="209">
        <f>K40/J38</f>
        <v>0.35892291017207578</v>
      </c>
      <c r="M40" s="221"/>
    </row>
    <row r="41" spans="1:13" s="13" customFormat="1" ht="43.5" x14ac:dyDescent="0.25">
      <c r="A41" s="40" t="s">
        <v>42</v>
      </c>
      <c r="B41" s="40"/>
      <c r="C41" s="39" t="s">
        <v>83</v>
      </c>
      <c r="D41" s="42" t="s">
        <v>52</v>
      </c>
      <c r="E41" s="42">
        <v>6</v>
      </c>
      <c r="F41" s="43">
        <v>1</v>
      </c>
      <c r="G41" s="42">
        <f t="shared" si="4"/>
        <v>6</v>
      </c>
      <c r="H41" s="42">
        <f>'4 -Composição_Equipe Preventiva'!$H$30</f>
        <v>48.45</v>
      </c>
      <c r="I41" s="44">
        <f t="shared" si="5"/>
        <v>358.58</v>
      </c>
      <c r="J41" s="45">
        <f t="shared" si="6"/>
        <v>4302.96</v>
      </c>
      <c r="K41" s="11">
        <f>I54</f>
        <v>2868.63</v>
      </c>
      <c r="L41" s="209">
        <f>K41/J38</f>
        <v>2.7195443090248284E-2</v>
      </c>
      <c r="M41" s="221"/>
    </row>
    <row r="42" spans="1:13" s="13" customFormat="1" ht="29" x14ac:dyDescent="0.25">
      <c r="A42" s="40" t="s">
        <v>84</v>
      </c>
      <c r="B42" s="40"/>
      <c r="C42" s="39" t="s">
        <v>85</v>
      </c>
      <c r="D42" s="42" t="s">
        <v>52</v>
      </c>
      <c r="E42" s="42">
        <v>6</v>
      </c>
      <c r="F42" s="43">
        <v>0.17</v>
      </c>
      <c r="G42" s="42">
        <f t="shared" si="4"/>
        <v>1.02</v>
      </c>
      <c r="H42" s="42">
        <f>'4 -Composição_Equipe Preventiva'!$H$30</f>
        <v>48.45</v>
      </c>
      <c r="I42" s="44">
        <f t="shared" si="5"/>
        <v>60.96</v>
      </c>
      <c r="J42" s="45">
        <f t="shared" si="6"/>
        <v>731.52</v>
      </c>
      <c r="K42" s="11"/>
      <c r="L42" s="215"/>
      <c r="M42" s="221"/>
    </row>
    <row r="43" spans="1:13" s="13" customFormat="1" ht="29" x14ac:dyDescent="0.25">
      <c r="A43" s="40" t="s">
        <v>86</v>
      </c>
      <c r="B43" s="40"/>
      <c r="C43" s="39" t="s">
        <v>87</v>
      </c>
      <c r="D43" s="42" t="s">
        <v>52</v>
      </c>
      <c r="E43" s="42">
        <v>6</v>
      </c>
      <c r="F43" s="43">
        <v>0.5</v>
      </c>
      <c r="G43" s="42">
        <f t="shared" si="4"/>
        <v>3</v>
      </c>
      <c r="H43" s="42">
        <f>'4 -Composição_Equipe Preventiva'!$H$30</f>
        <v>48.45</v>
      </c>
      <c r="I43" s="44">
        <f t="shared" si="5"/>
        <v>179.29</v>
      </c>
      <c r="J43" s="45">
        <f t="shared" si="6"/>
        <v>2151.48</v>
      </c>
      <c r="K43" s="11"/>
      <c r="L43" s="215"/>
      <c r="M43" s="221"/>
    </row>
    <row r="44" spans="1:13" s="13" customFormat="1" x14ac:dyDescent="0.25">
      <c r="A44" s="40" t="s">
        <v>88</v>
      </c>
      <c r="B44" s="40"/>
      <c r="C44" s="39" t="s">
        <v>89</v>
      </c>
      <c r="D44" s="42" t="s">
        <v>52</v>
      </c>
      <c r="E44" s="42">
        <v>6</v>
      </c>
      <c r="F44" s="43">
        <v>0.5</v>
      </c>
      <c r="G44" s="42">
        <f t="shared" si="4"/>
        <v>3</v>
      </c>
      <c r="H44" s="42">
        <f>'4 -Composição_Equipe Preventiva'!$H$30</f>
        <v>48.45</v>
      </c>
      <c r="I44" s="44">
        <f t="shared" si="5"/>
        <v>179.29</v>
      </c>
      <c r="J44" s="45">
        <f t="shared" si="6"/>
        <v>2151.48</v>
      </c>
      <c r="K44" s="11"/>
      <c r="L44" s="215"/>
      <c r="M44" s="221"/>
    </row>
    <row r="45" spans="1:13" s="13" customFormat="1" ht="29" x14ac:dyDescent="0.25">
      <c r="A45" s="40" t="s">
        <v>90</v>
      </c>
      <c r="B45" s="40"/>
      <c r="C45" s="39" t="s">
        <v>91</v>
      </c>
      <c r="D45" s="42" t="s">
        <v>52</v>
      </c>
      <c r="E45" s="42">
        <v>6</v>
      </c>
      <c r="F45" s="43">
        <v>0.5</v>
      </c>
      <c r="G45" s="42">
        <f t="shared" si="4"/>
        <v>3</v>
      </c>
      <c r="H45" s="42">
        <f>'4 -Composição_Equipe Preventiva'!$H$30</f>
        <v>48.45</v>
      </c>
      <c r="I45" s="44">
        <f t="shared" si="5"/>
        <v>179.29</v>
      </c>
      <c r="J45" s="45">
        <f t="shared" si="6"/>
        <v>2151.48</v>
      </c>
      <c r="K45" s="11"/>
      <c r="L45" s="215"/>
      <c r="M45" s="221"/>
    </row>
    <row r="46" spans="1:13" s="13" customFormat="1" ht="29" x14ac:dyDescent="0.25">
      <c r="A46" s="40" t="s">
        <v>92</v>
      </c>
      <c r="B46" s="40"/>
      <c r="C46" s="39" t="s">
        <v>93</v>
      </c>
      <c r="D46" s="42" t="s">
        <v>52</v>
      </c>
      <c r="E46" s="42">
        <v>6</v>
      </c>
      <c r="F46" s="43">
        <v>0.5</v>
      </c>
      <c r="G46" s="42">
        <f t="shared" si="4"/>
        <v>3</v>
      </c>
      <c r="H46" s="42">
        <f>'4 -Composição_Equipe Preventiva'!$H$30</f>
        <v>48.45</v>
      </c>
      <c r="I46" s="44">
        <f t="shared" si="5"/>
        <v>179.29</v>
      </c>
      <c r="J46" s="45">
        <f t="shared" si="6"/>
        <v>2151.48</v>
      </c>
      <c r="K46" s="11"/>
      <c r="L46" s="215"/>
      <c r="M46" s="221"/>
    </row>
    <row r="47" spans="1:13" s="13" customFormat="1" ht="38.5" customHeight="1" x14ac:dyDescent="0.25">
      <c r="A47" s="40" t="s">
        <v>94</v>
      </c>
      <c r="B47" s="40"/>
      <c r="C47" s="39" t="s">
        <v>95</v>
      </c>
      <c r="D47" s="42" t="s">
        <v>52</v>
      </c>
      <c r="E47" s="42">
        <v>6</v>
      </c>
      <c r="F47" s="43">
        <v>0.5</v>
      </c>
      <c r="G47" s="42">
        <f t="shared" si="4"/>
        <v>3</v>
      </c>
      <c r="H47" s="42">
        <f>'4 -Composição_Equipe Preventiva'!$H$30</f>
        <v>48.45</v>
      </c>
      <c r="I47" s="44">
        <f t="shared" si="5"/>
        <v>179.29</v>
      </c>
      <c r="J47" s="45">
        <f t="shared" si="6"/>
        <v>2151.48</v>
      </c>
      <c r="K47" s="11"/>
      <c r="L47" s="215"/>
      <c r="M47" s="221"/>
    </row>
    <row r="48" spans="1:13" s="13" customFormat="1" ht="41.5" customHeight="1" x14ac:dyDescent="0.25">
      <c r="A48" s="40" t="s">
        <v>96</v>
      </c>
      <c r="B48" s="40"/>
      <c r="C48" s="39" t="s">
        <v>97</v>
      </c>
      <c r="D48" s="42" t="s">
        <v>52</v>
      </c>
      <c r="E48" s="42">
        <v>6</v>
      </c>
      <c r="F48" s="43">
        <v>0.5</v>
      </c>
      <c r="G48" s="42">
        <f t="shared" si="4"/>
        <v>3</v>
      </c>
      <c r="H48" s="42">
        <f>'4 -Composição_Equipe Preventiva'!$H$30</f>
        <v>48.45</v>
      </c>
      <c r="I48" s="44">
        <f t="shared" si="5"/>
        <v>179.29</v>
      </c>
      <c r="J48" s="45">
        <f t="shared" si="6"/>
        <v>2151.48</v>
      </c>
      <c r="K48" s="11"/>
      <c r="L48" s="215"/>
      <c r="M48" s="221"/>
    </row>
    <row r="49" spans="1:13" s="13" customFormat="1" ht="28.5" customHeight="1" x14ac:dyDescent="0.25">
      <c r="A49" s="40" t="s">
        <v>98</v>
      </c>
      <c r="B49" s="40"/>
      <c r="C49" s="39" t="s">
        <v>99</v>
      </c>
      <c r="D49" s="42" t="s">
        <v>52</v>
      </c>
      <c r="E49" s="42">
        <v>6</v>
      </c>
      <c r="F49" s="43">
        <v>0.5</v>
      </c>
      <c r="G49" s="42">
        <f t="shared" si="4"/>
        <v>3</v>
      </c>
      <c r="H49" s="42">
        <f>'4 -Composição_Equipe Preventiva'!$H$30</f>
        <v>48.45</v>
      </c>
      <c r="I49" s="44">
        <f t="shared" si="5"/>
        <v>179.29</v>
      </c>
      <c r="J49" s="45">
        <f t="shared" si="6"/>
        <v>2151.48</v>
      </c>
      <c r="K49" s="11"/>
      <c r="L49" s="215"/>
      <c r="M49" s="221"/>
    </row>
    <row r="50" spans="1:13" s="13" customFormat="1" ht="29" x14ac:dyDescent="0.25">
      <c r="A50" s="40" t="s">
        <v>100</v>
      </c>
      <c r="B50" s="40"/>
      <c r="C50" s="39" t="s">
        <v>101</v>
      </c>
      <c r="D50" s="42" t="s">
        <v>52</v>
      </c>
      <c r="E50" s="42">
        <v>6</v>
      </c>
      <c r="F50" s="43">
        <v>0.5</v>
      </c>
      <c r="G50" s="42">
        <f t="shared" si="4"/>
        <v>3</v>
      </c>
      <c r="H50" s="42">
        <f>'4 -Composição_Equipe Preventiva'!$H$30</f>
        <v>48.45</v>
      </c>
      <c r="I50" s="44">
        <f t="shared" si="5"/>
        <v>179.29</v>
      </c>
      <c r="J50" s="45">
        <f t="shared" si="6"/>
        <v>2151.48</v>
      </c>
      <c r="K50" s="11"/>
      <c r="L50" s="215"/>
      <c r="M50" s="221"/>
    </row>
    <row r="51" spans="1:13" s="13" customFormat="1" ht="29" x14ac:dyDescent="0.25">
      <c r="A51" s="40" t="s">
        <v>102</v>
      </c>
      <c r="B51" s="40"/>
      <c r="C51" s="39" t="s">
        <v>103</v>
      </c>
      <c r="D51" s="42" t="s">
        <v>53</v>
      </c>
      <c r="E51" s="42">
        <v>1118</v>
      </c>
      <c r="F51" s="43">
        <v>0.5</v>
      </c>
      <c r="G51" s="42">
        <f t="shared" si="4"/>
        <v>559</v>
      </c>
      <c r="H51" s="42">
        <f>'4 -Composição_Equipe Preventiva'!$H$30</f>
        <v>48.45</v>
      </c>
      <c r="I51" s="44">
        <f t="shared" si="5"/>
        <v>33407.56</v>
      </c>
      <c r="J51" s="45">
        <f>ROUND(I51*Semestral,2)</f>
        <v>66815.12</v>
      </c>
      <c r="K51" s="11"/>
      <c r="L51" s="215"/>
      <c r="M51" s="221"/>
    </row>
    <row r="52" spans="1:13" s="13" customFormat="1" ht="29" x14ac:dyDescent="0.25">
      <c r="A52" s="40" t="s">
        <v>104</v>
      </c>
      <c r="B52" s="41"/>
      <c r="C52" s="50" t="s">
        <v>105</v>
      </c>
      <c r="D52" s="42" t="s">
        <v>53</v>
      </c>
      <c r="E52" s="42">
        <v>101</v>
      </c>
      <c r="F52" s="43">
        <v>0.5</v>
      </c>
      <c r="G52" s="42">
        <f t="shared" si="4"/>
        <v>50.5</v>
      </c>
      <c r="H52" s="42">
        <f>'4 -Composição_Equipe Preventiva'!$H$30</f>
        <v>48.45</v>
      </c>
      <c r="I52" s="44">
        <f t="shared" si="5"/>
        <v>3018.04</v>
      </c>
      <c r="J52" s="45">
        <f>ROUND(I52*Semestral,2)</f>
        <v>6036.08</v>
      </c>
      <c r="K52" s="11"/>
      <c r="L52" s="215"/>
      <c r="M52" s="221"/>
    </row>
    <row r="53" spans="1:13" s="13" customFormat="1" ht="80.5" customHeight="1" x14ac:dyDescent="0.25">
      <c r="A53" s="40" t="s">
        <v>106</v>
      </c>
      <c r="B53" s="41"/>
      <c r="C53" s="50" t="s">
        <v>107</v>
      </c>
      <c r="D53" s="42" t="s">
        <v>53</v>
      </c>
      <c r="E53" s="42">
        <v>6</v>
      </c>
      <c r="F53" s="43">
        <v>4</v>
      </c>
      <c r="G53" s="42">
        <f t="shared" si="4"/>
        <v>24</v>
      </c>
      <c r="H53" s="42">
        <f>'4 -Composição_Equipe Preventiva'!$H$30</f>
        <v>48.45</v>
      </c>
      <c r="I53" s="44">
        <f t="shared" si="5"/>
        <v>1434.31</v>
      </c>
      <c r="J53" s="45">
        <f>ROUND(I53*Semestral,2)</f>
        <v>2868.62</v>
      </c>
      <c r="K53" s="11"/>
      <c r="L53" s="215"/>
      <c r="M53" s="221"/>
    </row>
    <row r="54" spans="1:13" s="13" customFormat="1" ht="45" customHeight="1" x14ac:dyDescent="0.25">
      <c r="A54" s="40" t="s">
        <v>108</v>
      </c>
      <c r="B54" s="41"/>
      <c r="C54" s="50" t="s">
        <v>109</v>
      </c>
      <c r="D54" s="42" t="s">
        <v>54</v>
      </c>
      <c r="E54" s="42">
        <v>6</v>
      </c>
      <c r="F54" s="43">
        <v>8</v>
      </c>
      <c r="G54" s="42">
        <f t="shared" si="4"/>
        <v>48</v>
      </c>
      <c r="H54" s="42">
        <f>'4 -Composição_Equipe Preventiva'!$H$30</f>
        <v>48.45</v>
      </c>
      <c r="I54" s="44">
        <f t="shared" si="5"/>
        <v>2868.63</v>
      </c>
      <c r="J54" s="45">
        <f>ROUND(I54*Anual,2)</f>
        <v>2868.63</v>
      </c>
      <c r="K54" s="11"/>
      <c r="L54" s="215"/>
      <c r="M54" s="221"/>
    </row>
    <row r="55" spans="1:13" s="17" customFormat="1" ht="3.65" customHeight="1" thickBot="1" x14ac:dyDescent="0.3">
      <c r="A55" s="73"/>
      <c r="B55" s="73"/>
      <c r="C55" s="74"/>
      <c r="D55" s="75"/>
      <c r="E55" s="75"/>
      <c r="F55" s="76"/>
      <c r="G55" s="75"/>
      <c r="H55" s="75"/>
      <c r="I55" s="77"/>
      <c r="J55" s="77"/>
      <c r="K55" s="15"/>
      <c r="L55" s="222"/>
      <c r="M55" s="223"/>
    </row>
    <row r="56" spans="1:13" s="67" customFormat="1" ht="30" customHeight="1" thickBot="1" x14ac:dyDescent="0.4">
      <c r="A56" s="84">
        <v>4</v>
      </c>
      <c r="B56" s="84"/>
      <c r="C56" s="394" t="s">
        <v>110</v>
      </c>
      <c r="D56" s="394"/>
      <c r="E56" s="394"/>
      <c r="F56" s="394"/>
      <c r="G56" s="394"/>
      <c r="H56" s="394"/>
      <c r="I56" s="394"/>
      <c r="J56" s="85">
        <f>SUM(J57:J58)</f>
        <v>17323.739999999998</v>
      </c>
      <c r="K56" s="70"/>
      <c r="L56" s="215"/>
      <c r="M56" s="226"/>
    </row>
    <row r="57" spans="1:13" s="20" customFormat="1" ht="76.5" customHeight="1" x14ac:dyDescent="0.35">
      <c r="A57" s="40" t="s">
        <v>44</v>
      </c>
      <c r="B57" s="40"/>
      <c r="C57" s="52" t="s">
        <v>111</v>
      </c>
      <c r="D57" s="42" t="s">
        <v>53</v>
      </c>
      <c r="E57" s="42">
        <v>49</v>
      </c>
      <c r="F57" s="43">
        <v>1</v>
      </c>
      <c r="G57" s="42">
        <f>ROUND(E57*F57,2)</f>
        <v>49</v>
      </c>
      <c r="H57" s="42">
        <f>'4 -Composição_Equipe Preventiva'!H39</f>
        <v>47.77</v>
      </c>
      <c r="I57" s="44">
        <f>ROUND(G57*H57*(1+BDI),2)</f>
        <v>2887.29</v>
      </c>
      <c r="J57" s="45">
        <f>ROUND(I57*Semestral,2)</f>
        <v>5774.58</v>
      </c>
      <c r="K57" s="11"/>
      <c r="L57" s="215"/>
      <c r="M57" s="227"/>
    </row>
    <row r="58" spans="1:13" s="13" customFormat="1" ht="35" customHeight="1" x14ac:dyDescent="0.25">
      <c r="A58" s="40" t="s">
        <v>112</v>
      </c>
      <c r="B58" s="41"/>
      <c r="C58" s="50" t="s">
        <v>113</v>
      </c>
      <c r="D58" s="42" t="s">
        <v>54</v>
      </c>
      <c r="E58" s="42">
        <v>49</v>
      </c>
      <c r="F58" s="43">
        <v>4</v>
      </c>
      <c r="G58" s="42">
        <f>ROUND(E58*F58,2)</f>
        <v>196</v>
      </c>
      <c r="H58" s="42">
        <f>'4 -Composição_Equipe Preventiva'!H39</f>
        <v>47.77</v>
      </c>
      <c r="I58" s="44">
        <f>ROUND(G58*H58*(1+BDI),2)</f>
        <v>11549.16</v>
      </c>
      <c r="J58" s="45">
        <f>ROUND(I58*Anual,2)</f>
        <v>11549.16</v>
      </c>
      <c r="K58" s="11"/>
      <c r="L58" s="215"/>
      <c r="M58" s="221"/>
    </row>
    <row r="59" spans="1:13" s="17" customFormat="1" ht="4.5" customHeight="1" thickBot="1" x14ac:dyDescent="0.3">
      <c r="A59" s="79"/>
      <c r="B59" s="79"/>
      <c r="C59" s="80"/>
      <c r="D59" s="81"/>
      <c r="E59" s="81"/>
      <c r="F59" s="82"/>
      <c r="G59" s="81"/>
      <c r="H59" s="81"/>
      <c r="I59" s="83"/>
      <c r="J59" s="83"/>
      <c r="K59" s="15"/>
      <c r="L59" s="222"/>
      <c r="M59" s="223"/>
    </row>
    <row r="60" spans="1:13" s="67" customFormat="1" ht="30" customHeight="1" thickBot="1" x14ac:dyDescent="0.4">
      <c r="A60" s="84">
        <v>5</v>
      </c>
      <c r="B60" s="394" t="s">
        <v>114</v>
      </c>
      <c r="C60" s="394"/>
      <c r="D60" s="394"/>
      <c r="E60" s="394"/>
      <c r="F60" s="394"/>
      <c r="G60" s="394"/>
      <c r="H60" s="394"/>
      <c r="I60" s="394"/>
      <c r="J60" s="85">
        <f>SUM(J61:J62)</f>
        <v>33940.32</v>
      </c>
      <c r="K60" s="70"/>
      <c r="L60" s="215"/>
      <c r="M60" s="226"/>
    </row>
    <row r="61" spans="1:13" ht="95.5" customHeight="1" x14ac:dyDescent="0.35">
      <c r="A61" s="40" t="s">
        <v>115</v>
      </c>
      <c r="B61" s="40"/>
      <c r="C61" s="39" t="s">
        <v>476</v>
      </c>
      <c r="D61" s="42" t="s">
        <v>52</v>
      </c>
      <c r="E61" s="42">
        <v>1</v>
      </c>
      <c r="F61" s="43">
        <f>3*8</f>
        <v>24</v>
      </c>
      <c r="G61" s="42">
        <f>ROUND(E61*F61,2)</f>
        <v>24</v>
      </c>
      <c r="H61" s="42">
        <f>'4 -Composição_Equipe Preventiva'!H39</f>
        <v>47.77</v>
      </c>
      <c r="I61" s="44">
        <f>ROUND(G61*H61*(1+BDI),2)</f>
        <v>1414.18</v>
      </c>
      <c r="J61" s="45">
        <f>ROUND(I61*Mensal,2)</f>
        <v>16970.16</v>
      </c>
      <c r="K61" s="11">
        <f>I61+I62</f>
        <v>2828.36</v>
      </c>
      <c r="L61" s="215"/>
    </row>
    <row r="62" spans="1:13" ht="84.5" customHeight="1" x14ac:dyDescent="0.35">
      <c r="A62" s="40" t="s">
        <v>116</v>
      </c>
      <c r="B62" s="41"/>
      <c r="C62" s="50" t="s">
        <v>477</v>
      </c>
      <c r="D62" s="42" t="s">
        <v>52</v>
      </c>
      <c r="E62" s="42">
        <v>1</v>
      </c>
      <c r="F62" s="43">
        <f>F61</f>
        <v>24</v>
      </c>
      <c r="G62" s="42">
        <f>ROUND(E62*F62,2)</f>
        <v>24</v>
      </c>
      <c r="H62" s="42">
        <f>'4 -Composição_Equipe Preventiva'!H39</f>
        <v>47.77</v>
      </c>
      <c r="I62" s="44">
        <f>ROUND(G62*H62*(1+BDI),2)</f>
        <v>1414.18</v>
      </c>
      <c r="J62" s="45">
        <f>ROUND(I62*Mensal,2)</f>
        <v>16970.16</v>
      </c>
    </row>
    <row r="63" spans="1:13" s="21" customFormat="1" ht="4" customHeight="1" thickBot="1" x14ac:dyDescent="0.4">
      <c r="A63" s="53"/>
      <c r="B63" s="53"/>
      <c r="C63" s="54"/>
      <c r="D63" s="55"/>
      <c r="E63" s="55"/>
      <c r="F63" s="56"/>
      <c r="G63" s="55"/>
      <c r="H63" s="55"/>
      <c r="I63" s="57"/>
      <c r="J63" s="58"/>
      <c r="K63" s="15"/>
      <c r="L63" s="222"/>
      <c r="M63" s="228"/>
    </row>
    <row r="64" spans="1:13" s="67" customFormat="1" ht="30" customHeight="1" thickBot="1" x14ac:dyDescent="0.4">
      <c r="A64" s="84">
        <v>6</v>
      </c>
      <c r="B64" s="394" t="s">
        <v>117</v>
      </c>
      <c r="C64" s="394"/>
      <c r="D64" s="394"/>
      <c r="E64" s="394"/>
      <c r="F64" s="394"/>
      <c r="G64" s="394"/>
      <c r="H64" s="394"/>
      <c r="I64" s="394"/>
      <c r="J64" s="85">
        <f>SUM(J65:J65)</f>
        <v>22949.040000000001</v>
      </c>
      <c r="K64" s="70"/>
      <c r="L64" s="215"/>
      <c r="M64" s="226"/>
    </row>
    <row r="65" spans="1:13" ht="81.5" customHeight="1" x14ac:dyDescent="0.35">
      <c r="A65" s="40" t="s">
        <v>118</v>
      </c>
      <c r="B65" s="40"/>
      <c r="C65" s="39" t="s">
        <v>407</v>
      </c>
      <c r="D65" s="42" t="s">
        <v>52</v>
      </c>
      <c r="E65" s="42">
        <v>1</v>
      </c>
      <c r="F65" s="43">
        <f>4*8</f>
        <v>32</v>
      </c>
      <c r="G65" s="42">
        <f>ROUND(E65*F65,2)</f>
        <v>32</v>
      </c>
      <c r="H65" s="42">
        <f>'4 -Composição_Equipe Preventiva'!H30</f>
        <v>48.45</v>
      </c>
      <c r="I65" s="44">
        <f>ROUND(G65*H65*(1+BDI),2)</f>
        <v>1912.42</v>
      </c>
      <c r="J65" s="45">
        <f>ROUND(I65*Mensal,2)</f>
        <v>22949.040000000001</v>
      </c>
    </row>
    <row r="66" spans="1:13" ht="4" customHeight="1" thickBot="1" x14ac:dyDescent="0.4">
      <c r="A66" s="53"/>
      <c r="B66" s="53"/>
      <c r="C66" s="54"/>
      <c r="D66" s="55"/>
      <c r="E66" s="55"/>
      <c r="F66" s="56"/>
      <c r="G66" s="55"/>
      <c r="H66" s="55"/>
      <c r="I66" s="57"/>
      <c r="J66" s="58"/>
    </row>
    <row r="67" spans="1:13" s="67" customFormat="1" ht="30" customHeight="1" thickBot="1" x14ac:dyDescent="0.4">
      <c r="A67" s="84">
        <v>7</v>
      </c>
      <c r="B67" s="394" t="s">
        <v>484</v>
      </c>
      <c r="C67" s="394"/>
      <c r="D67" s="394"/>
      <c r="E67" s="394"/>
      <c r="F67" s="394"/>
      <c r="G67" s="394"/>
      <c r="H67" s="394"/>
      <c r="I67" s="394"/>
      <c r="J67" s="85">
        <f>SUM(J68:J68)</f>
        <v>37957.08</v>
      </c>
      <c r="K67" s="3"/>
      <c r="L67" s="212"/>
      <c r="M67" s="226"/>
    </row>
    <row r="68" spans="1:13" ht="60.5" customHeight="1" x14ac:dyDescent="0.35">
      <c r="A68" s="40" t="s">
        <v>119</v>
      </c>
      <c r="B68" s="40"/>
      <c r="C68" s="118" t="s">
        <v>485</v>
      </c>
      <c r="D68" s="42" t="s">
        <v>52</v>
      </c>
      <c r="E68" s="42">
        <v>1</v>
      </c>
      <c r="F68" s="43">
        <f>4*4</f>
        <v>16</v>
      </c>
      <c r="G68" s="42">
        <f>E68*F68</f>
        <v>16</v>
      </c>
      <c r="H68" s="42">
        <f>'4 -Composição_Equipe Preventiva'!H46</f>
        <v>160.27000000000001</v>
      </c>
      <c r="I68" s="44">
        <f>ROUND(G68*H68*(1+BDI),2)</f>
        <v>3163.09</v>
      </c>
      <c r="J68" s="45">
        <f>ROUND(I68*Mensal,2)</f>
        <v>37957.08</v>
      </c>
      <c r="L68" s="230"/>
    </row>
    <row r="69" spans="1:13" ht="3" customHeight="1" thickBot="1" x14ac:dyDescent="0.4">
      <c r="A69" s="22"/>
      <c r="B69" s="22"/>
      <c r="C69" s="23"/>
      <c r="D69" s="22"/>
      <c r="E69" s="22"/>
      <c r="F69" s="24"/>
      <c r="G69" s="22"/>
      <c r="H69" s="22"/>
      <c r="I69" s="22"/>
      <c r="J69" s="25"/>
    </row>
    <row r="70" spans="1:13" ht="27.5" customHeight="1" thickBot="1" x14ac:dyDescent="0.4">
      <c r="A70" s="393" t="s">
        <v>431</v>
      </c>
      <c r="B70" s="393"/>
      <c r="C70" s="393"/>
      <c r="D70" s="393"/>
      <c r="E70" s="393"/>
      <c r="F70" s="393"/>
      <c r="G70" s="393"/>
      <c r="H70" s="393"/>
      <c r="I70" s="393"/>
      <c r="J70" s="391">
        <f>J16+J28+J38+J56+J60+J64+J67</f>
        <v>312694.23</v>
      </c>
      <c r="K70" s="26"/>
      <c r="L70" s="229"/>
    </row>
    <row r="71" spans="1:13" ht="35" customHeight="1" thickBot="1" x14ac:dyDescent="0.4">
      <c r="A71" s="393"/>
      <c r="B71" s="393"/>
      <c r="C71" s="393"/>
      <c r="D71" s="393"/>
      <c r="E71" s="393"/>
      <c r="F71" s="393"/>
      <c r="G71" s="393"/>
      <c r="H71" s="393"/>
      <c r="I71" s="393"/>
      <c r="J71" s="391"/>
      <c r="K71" s="26"/>
      <c r="L71" s="229"/>
    </row>
    <row r="72" spans="1:13" ht="26.5" customHeight="1" thickBot="1" x14ac:dyDescent="0.4">
      <c r="A72" s="392" t="s">
        <v>421</v>
      </c>
      <c r="B72" s="392"/>
      <c r="C72" s="392"/>
      <c r="D72" s="392"/>
      <c r="E72" s="392"/>
      <c r="F72" s="392"/>
      <c r="G72" s="392"/>
      <c r="H72" s="392"/>
      <c r="I72" s="392"/>
      <c r="J72" s="88">
        <v>12</v>
      </c>
    </row>
    <row r="73" spans="1:13" ht="58" customHeight="1" thickBot="1" x14ac:dyDescent="0.4">
      <c r="A73" s="393" t="s">
        <v>430</v>
      </c>
      <c r="B73" s="393"/>
      <c r="C73" s="393"/>
      <c r="D73" s="393"/>
      <c r="E73" s="393"/>
      <c r="F73" s="393"/>
      <c r="G73" s="393"/>
      <c r="H73" s="393"/>
      <c r="I73" s="393"/>
      <c r="J73" s="89">
        <f>J70/J72</f>
        <v>26057.852499999997</v>
      </c>
    </row>
    <row r="74" spans="1:13" x14ac:dyDescent="0.35">
      <c r="J74" s="117"/>
    </row>
  </sheetData>
  <mergeCells count="28">
    <mergeCell ref="A1:J4"/>
    <mergeCell ref="A5:J5"/>
    <mergeCell ref="A6:J6"/>
    <mergeCell ref="B8:E8"/>
    <mergeCell ref="F8:I8"/>
    <mergeCell ref="B7:J7"/>
    <mergeCell ref="B9:E9"/>
    <mergeCell ref="F9:I9"/>
    <mergeCell ref="B10:E10"/>
    <mergeCell ref="A12:J12"/>
    <mergeCell ref="A13:C13"/>
    <mergeCell ref="E13:G13"/>
    <mergeCell ref="H13:J13"/>
    <mergeCell ref="F10:J10"/>
    <mergeCell ref="A11:J11"/>
    <mergeCell ref="K13:L13"/>
    <mergeCell ref="A15:J15"/>
    <mergeCell ref="B16:I16"/>
    <mergeCell ref="C28:I28"/>
    <mergeCell ref="C38:I38"/>
    <mergeCell ref="J70:J71"/>
    <mergeCell ref="A72:I72"/>
    <mergeCell ref="A73:I73"/>
    <mergeCell ref="C56:I56"/>
    <mergeCell ref="B60:I60"/>
    <mergeCell ref="B64:I64"/>
    <mergeCell ref="B67:I67"/>
    <mergeCell ref="A70:I71"/>
  </mergeCells>
  <printOptions horizontalCentered="1"/>
  <pageMargins left="0.51181102362204722" right="0.51181102362204722" top="0.35433070866141736" bottom="0.55118110236220474" header="0.51181102362204722" footer="0.31496062992125984"/>
  <pageSetup paperSize="9" scale="58" firstPageNumber="0" fitToHeight="0" orientation="portrait" horizontalDpi="300" verticalDpi="300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4ED24-2284-4425-B3E3-7217CEB22A79}">
  <sheetPr>
    <tabColor rgb="FFFFFF00"/>
  </sheetPr>
  <dimension ref="A1:M28"/>
  <sheetViews>
    <sheetView view="pageBreakPreview" topLeftCell="A7" zoomScale="85" zoomScaleNormal="115" zoomScaleSheetLayoutView="85" workbookViewId="0">
      <selection activeCell="A10" sqref="A10:J10"/>
    </sheetView>
  </sheetViews>
  <sheetFormatPr defaultColWidth="9.1796875" defaultRowHeight="18.5" x14ac:dyDescent="0.45"/>
  <cols>
    <col min="1" max="1" width="7.6328125" style="112" customWidth="1"/>
    <col min="2" max="2" width="8.6328125" style="112" customWidth="1"/>
    <col min="3" max="3" width="11.08984375" style="112" customWidth="1"/>
    <col min="4" max="4" width="54.36328125" customWidth="1"/>
    <col min="5" max="5" width="8" style="112" customWidth="1"/>
    <col min="6" max="6" width="24.08984375" style="112" customWidth="1"/>
    <col min="7" max="7" width="16.08984375" style="112" customWidth="1"/>
    <col min="8" max="10" width="15.54296875" style="112" customWidth="1"/>
    <col min="11" max="11" width="1.08984375" style="119" customWidth="1"/>
    <col min="12" max="12" width="9.1796875" style="119" hidden="1" customWidth="1"/>
    <col min="13" max="13" width="11.54296875" style="119" hidden="1" customWidth="1"/>
  </cols>
  <sheetData>
    <row r="1" spans="1:13" ht="14.5" customHeight="1" x14ac:dyDescent="0.45">
      <c r="A1" s="434" t="s">
        <v>17</v>
      </c>
      <c r="B1" s="435"/>
      <c r="C1" s="435"/>
      <c r="D1" s="435"/>
      <c r="E1" s="435"/>
      <c r="F1" s="435"/>
      <c r="G1" s="435"/>
      <c r="H1" s="435"/>
      <c r="I1" s="435"/>
      <c r="J1" s="436"/>
    </row>
    <row r="2" spans="1:13" x14ac:dyDescent="0.45">
      <c r="A2" s="437"/>
      <c r="B2" s="438"/>
      <c r="C2" s="438"/>
      <c r="D2" s="438"/>
      <c r="E2" s="438"/>
      <c r="F2" s="438"/>
      <c r="G2" s="438"/>
      <c r="H2" s="438"/>
      <c r="I2" s="438"/>
      <c r="J2" s="439"/>
    </row>
    <row r="3" spans="1:13" ht="76" customHeight="1" x14ac:dyDescent="0.45">
      <c r="A3" s="437"/>
      <c r="B3" s="438"/>
      <c r="C3" s="438"/>
      <c r="D3" s="438"/>
      <c r="E3" s="438"/>
      <c r="F3" s="438"/>
      <c r="G3" s="438"/>
      <c r="H3" s="438"/>
      <c r="I3" s="438"/>
      <c r="J3" s="439"/>
    </row>
    <row r="4" spans="1:13" ht="19" thickBot="1" x14ac:dyDescent="0.5">
      <c r="A4" s="440"/>
      <c r="B4" s="441"/>
      <c r="C4" s="441"/>
      <c r="D4" s="441"/>
      <c r="E4" s="441"/>
      <c r="F4" s="441"/>
      <c r="G4" s="441"/>
      <c r="H4" s="441"/>
      <c r="I4" s="441"/>
      <c r="J4" s="442"/>
    </row>
    <row r="5" spans="1:13" ht="35" customHeight="1" thickBot="1" x14ac:dyDescent="0.5">
      <c r="A5" s="445" t="s">
        <v>420</v>
      </c>
      <c r="B5" s="446"/>
      <c r="C5" s="446"/>
      <c r="D5" s="446"/>
      <c r="E5" s="446"/>
      <c r="F5" s="446"/>
      <c r="G5" s="446"/>
      <c r="H5" s="446"/>
      <c r="I5" s="446"/>
      <c r="J5" s="447"/>
    </row>
    <row r="6" spans="1:13" ht="86" customHeight="1" thickBot="1" x14ac:dyDescent="0.5">
      <c r="A6" s="147" t="s">
        <v>0</v>
      </c>
      <c r="B6" s="415" t="s">
        <v>433</v>
      </c>
      <c r="C6" s="415"/>
      <c r="D6" s="415"/>
      <c r="E6" s="415"/>
      <c r="F6" s="148" t="s">
        <v>18</v>
      </c>
      <c r="G6" s="416" t="s">
        <v>131</v>
      </c>
      <c r="H6" s="417"/>
      <c r="I6" s="443" t="s">
        <v>494</v>
      </c>
      <c r="J6" s="444"/>
    </row>
    <row r="7" spans="1:13" ht="30" customHeight="1" thickBot="1" x14ac:dyDescent="0.5">
      <c r="A7" s="90" t="s">
        <v>1</v>
      </c>
      <c r="B7" s="367" t="s">
        <v>2</v>
      </c>
      <c r="C7" s="368"/>
      <c r="D7" s="368"/>
      <c r="E7" s="368"/>
      <c r="F7" s="368"/>
      <c r="G7" s="368"/>
      <c r="H7" s="368"/>
      <c r="I7" s="448">
        <f>'Composição BDI'!C14</f>
        <v>0.23350000000000001</v>
      </c>
      <c r="J7" s="449"/>
    </row>
    <row r="8" spans="1:13" ht="30" customHeight="1" thickBot="1" x14ac:dyDescent="0.5">
      <c r="A8" s="90" t="s">
        <v>3</v>
      </c>
      <c r="B8" s="367" t="s">
        <v>456</v>
      </c>
      <c r="C8" s="368"/>
      <c r="D8" s="368"/>
      <c r="E8" s="368"/>
      <c r="F8" s="368"/>
      <c r="G8" s="368"/>
      <c r="H8" s="368"/>
      <c r="I8" s="368"/>
      <c r="J8" s="369"/>
    </row>
    <row r="9" spans="1:13" ht="30" customHeight="1" thickBot="1" x14ac:dyDescent="0.5">
      <c r="A9" s="116" t="s">
        <v>4</v>
      </c>
      <c r="B9" s="430" t="s">
        <v>150</v>
      </c>
      <c r="C9" s="431"/>
      <c r="D9" s="431"/>
      <c r="E9" s="431"/>
      <c r="F9" s="431"/>
      <c r="G9" s="431"/>
      <c r="H9" s="431"/>
      <c r="I9" s="431"/>
      <c r="J9" s="432"/>
    </row>
    <row r="10" spans="1:13" s="188" customFormat="1" ht="71" customHeight="1" thickBot="1" x14ac:dyDescent="0.5">
      <c r="A10" s="433" t="s">
        <v>501</v>
      </c>
      <c r="B10" s="403"/>
      <c r="C10" s="403"/>
      <c r="D10" s="403"/>
      <c r="E10" s="403"/>
      <c r="F10" s="403"/>
      <c r="G10" s="403"/>
      <c r="H10" s="403"/>
      <c r="I10" s="403"/>
      <c r="J10" s="404"/>
      <c r="K10" s="119"/>
      <c r="L10" s="119"/>
      <c r="M10" s="119"/>
    </row>
    <row r="11" spans="1:13" ht="30" customHeight="1" thickBot="1" x14ac:dyDescent="0.5">
      <c r="A11" s="427" t="s">
        <v>478</v>
      </c>
      <c r="B11" s="428"/>
      <c r="C11" s="428"/>
      <c r="D11" s="428"/>
      <c r="E11" s="428"/>
      <c r="F11" s="428"/>
      <c r="G11" s="428"/>
      <c r="H11" s="428"/>
      <c r="I11" s="428"/>
      <c r="J11" s="429"/>
    </row>
    <row r="12" spans="1:13" s="33" customFormat="1" ht="11" customHeight="1" x14ac:dyDescent="0.45">
      <c r="A12" s="418"/>
      <c r="B12" s="418"/>
      <c r="C12" s="418"/>
      <c r="D12" s="418"/>
      <c r="E12" s="418"/>
      <c r="F12" s="418"/>
      <c r="G12" s="418"/>
      <c r="H12" s="418"/>
      <c r="I12" s="418"/>
      <c r="J12" s="418"/>
      <c r="K12" s="120"/>
      <c r="L12" s="120"/>
      <c r="M12" s="120"/>
    </row>
    <row r="13" spans="1:13" s="20" customFormat="1" ht="61" customHeight="1" thickBot="1" x14ac:dyDescent="0.4">
      <c r="A13" s="127" t="s">
        <v>5</v>
      </c>
      <c r="B13" s="127" t="s">
        <v>25</v>
      </c>
      <c r="C13" s="127" t="s">
        <v>133</v>
      </c>
      <c r="D13" s="127" t="s">
        <v>6</v>
      </c>
      <c r="E13" s="127" t="s">
        <v>21</v>
      </c>
      <c r="F13" s="127" t="s">
        <v>134</v>
      </c>
      <c r="G13" s="347" t="s">
        <v>135</v>
      </c>
      <c r="H13" s="127" t="s">
        <v>136</v>
      </c>
      <c r="I13" s="127" t="s">
        <v>148</v>
      </c>
      <c r="J13" s="127" t="s">
        <v>136</v>
      </c>
      <c r="K13" s="121"/>
      <c r="L13" s="121"/>
      <c r="M13" s="121"/>
    </row>
    <row r="14" spans="1:13" s="13" customFormat="1" ht="35" customHeight="1" thickBot="1" x14ac:dyDescent="0.5">
      <c r="A14" s="111" t="s">
        <v>10</v>
      </c>
      <c r="B14" s="419" t="s">
        <v>437</v>
      </c>
      <c r="C14" s="420"/>
      <c r="D14" s="420"/>
      <c r="E14" s="420"/>
      <c r="F14" s="420"/>
      <c r="G14" s="420"/>
      <c r="H14" s="420"/>
      <c r="I14" s="420"/>
      <c r="J14" s="421"/>
      <c r="K14" s="119"/>
      <c r="L14" s="119"/>
      <c r="M14" s="119"/>
    </row>
    <row r="15" spans="1:13" s="14" customFormat="1" ht="35" customHeight="1" x14ac:dyDescent="0.45">
      <c r="A15" s="128" t="s">
        <v>409</v>
      </c>
      <c r="B15" s="129">
        <v>2696</v>
      </c>
      <c r="C15" s="129" t="s">
        <v>137</v>
      </c>
      <c r="D15" s="130" t="s">
        <v>26</v>
      </c>
      <c r="E15" s="129" t="s">
        <v>27</v>
      </c>
      <c r="F15" s="131">
        <f>INT(K15)</f>
        <v>1267</v>
      </c>
      <c r="G15" s="132">
        <v>15.43</v>
      </c>
      <c r="H15" s="132">
        <f>ROUND(F15*G15,2)</f>
        <v>19549.810000000001</v>
      </c>
      <c r="I15" s="133">
        <f>'1. Serviços Manut. PREVENTIVA'!BDI</f>
        <v>0.23350000000000001</v>
      </c>
      <c r="J15" s="134">
        <f>ROUND(H15*(1+I15),2)</f>
        <v>24114.69</v>
      </c>
      <c r="K15" s="122">
        <f>44*4*12*0.6</f>
        <v>1267.2</v>
      </c>
      <c r="L15" s="122"/>
      <c r="M15" s="122">
        <f>H15*1.25</f>
        <v>24437.262500000001</v>
      </c>
    </row>
    <row r="16" spans="1:13" s="14" customFormat="1" ht="35" customHeight="1" x14ac:dyDescent="0.45">
      <c r="A16" s="135" t="s">
        <v>410</v>
      </c>
      <c r="B16" s="104">
        <v>2436</v>
      </c>
      <c r="C16" s="103" t="s">
        <v>138</v>
      </c>
      <c r="D16" s="105" t="s">
        <v>34</v>
      </c>
      <c r="E16" s="104" t="s">
        <v>27</v>
      </c>
      <c r="F16" s="123">
        <f t="shared" ref="F16:F18" si="0">INT(K16)</f>
        <v>1267</v>
      </c>
      <c r="G16" s="107">
        <v>15.43</v>
      </c>
      <c r="H16" s="107">
        <f t="shared" ref="H16:H21" si="1">ROUND(F16*G16,2)</f>
        <v>19549.810000000001</v>
      </c>
      <c r="I16" s="125">
        <f>'1. Serviços Manut. PREVENTIVA'!BDI</f>
        <v>0.23350000000000001</v>
      </c>
      <c r="J16" s="136">
        <f t="shared" ref="J16:J23" si="2">ROUND(H16*(1+I16),2)</f>
        <v>24114.69</v>
      </c>
      <c r="K16" s="122">
        <f>44*4*12*0.6</f>
        <v>1267.2</v>
      </c>
      <c r="L16" s="122"/>
      <c r="M16" s="126">
        <f>H15-M15</f>
        <v>-4887.4524999999994</v>
      </c>
    </row>
    <row r="17" spans="1:13" s="14" customFormat="1" ht="35" customHeight="1" x14ac:dyDescent="0.45">
      <c r="A17" s="135" t="s">
        <v>411</v>
      </c>
      <c r="B17" s="104">
        <v>4783</v>
      </c>
      <c r="C17" s="103" t="s">
        <v>139</v>
      </c>
      <c r="D17" s="105" t="s">
        <v>140</v>
      </c>
      <c r="E17" s="104" t="s">
        <v>27</v>
      </c>
      <c r="F17" s="123">
        <f t="shared" si="0"/>
        <v>528</v>
      </c>
      <c r="G17" s="107">
        <v>15.43</v>
      </c>
      <c r="H17" s="107">
        <f t="shared" si="1"/>
        <v>8147.04</v>
      </c>
      <c r="I17" s="125">
        <f>'1. Serviços Manut. PREVENTIVA'!BDI</f>
        <v>0.23350000000000001</v>
      </c>
      <c r="J17" s="136">
        <f t="shared" si="2"/>
        <v>10049.370000000001</v>
      </c>
      <c r="K17" s="122">
        <f>44*4*12*0.25</f>
        <v>528</v>
      </c>
      <c r="L17" s="122"/>
      <c r="M17" s="122"/>
    </row>
    <row r="18" spans="1:13" s="14" customFormat="1" ht="35" customHeight="1" x14ac:dyDescent="0.45">
      <c r="A18" s="135" t="s">
        <v>412</v>
      </c>
      <c r="B18" s="104">
        <v>6160</v>
      </c>
      <c r="C18" s="103" t="s">
        <v>141</v>
      </c>
      <c r="D18" s="105" t="s">
        <v>142</v>
      </c>
      <c r="E18" s="104" t="s">
        <v>27</v>
      </c>
      <c r="F18" s="123">
        <f t="shared" si="0"/>
        <v>528</v>
      </c>
      <c r="G18" s="107">
        <v>15.43</v>
      </c>
      <c r="H18" s="107">
        <f t="shared" si="1"/>
        <v>8147.04</v>
      </c>
      <c r="I18" s="125">
        <f>'1. Serviços Manut. PREVENTIVA'!BDI</f>
        <v>0.23350000000000001</v>
      </c>
      <c r="J18" s="136">
        <f t="shared" si="2"/>
        <v>10049.370000000001</v>
      </c>
      <c r="K18" s="122">
        <f>44*4*12*0.25</f>
        <v>528</v>
      </c>
      <c r="L18" s="122"/>
      <c r="M18" s="122"/>
    </row>
    <row r="19" spans="1:13" s="14" customFormat="1" ht="35" customHeight="1" x14ac:dyDescent="0.45">
      <c r="A19" s="135" t="s">
        <v>413</v>
      </c>
      <c r="B19" s="104">
        <f>'4 -Composição_Equipe Preventiva'!B17</f>
        <v>246</v>
      </c>
      <c r="C19" s="103" t="s">
        <v>137</v>
      </c>
      <c r="D19" s="105" t="str">
        <f>'4 -Composição_Equipe Preventiva'!D17</f>
        <v>AUXILIAR DE ENCANADOR OU BOMBEIRO HIDRAULICO</v>
      </c>
      <c r="E19" s="104" t="s">
        <v>27</v>
      </c>
      <c r="F19" s="123">
        <f>F15</f>
        <v>1267</v>
      </c>
      <c r="G19" s="107">
        <v>10.92</v>
      </c>
      <c r="H19" s="107">
        <f t="shared" si="1"/>
        <v>13835.64</v>
      </c>
      <c r="I19" s="125">
        <f>'1. Serviços Manut. PREVENTIVA'!BDI</f>
        <v>0.23350000000000001</v>
      </c>
      <c r="J19" s="136">
        <f t="shared" si="2"/>
        <v>17066.259999999998</v>
      </c>
      <c r="K19" s="122">
        <f>K15</f>
        <v>1267.2</v>
      </c>
      <c r="L19" s="122"/>
      <c r="M19" s="122"/>
    </row>
    <row r="20" spans="1:13" s="14" customFormat="1" ht="35" customHeight="1" x14ac:dyDescent="0.45">
      <c r="A20" s="135" t="s">
        <v>414</v>
      </c>
      <c r="B20" s="104">
        <v>247</v>
      </c>
      <c r="C20" s="103" t="s">
        <v>146</v>
      </c>
      <c r="D20" s="105" t="str">
        <f>'4 -Composição_Equipe Preventiva'!D26</f>
        <v>AJUDANTE DE ELETRICISTA</v>
      </c>
      <c r="E20" s="104" t="s">
        <v>27</v>
      </c>
      <c r="F20" s="123">
        <f>F16</f>
        <v>1267</v>
      </c>
      <c r="G20" s="107">
        <v>10.83</v>
      </c>
      <c r="H20" s="107">
        <f t="shared" si="1"/>
        <v>13721.61</v>
      </c>
      <c r="I20" s="125">
        <f>'1. Serviços Manut. PREVENTIVA'!BDI</f>
        <v>0.23350000000000001</v>
      </c>
      <c r="J20" s="136">
        <f t="shared" si="2"/>
        <v>16925.61</v>
      </c>
      <c r="K20" s="122">
        <f>K16</f>
        <v>1267.2</v>
      </c>
      <c r="L20" s="122"/>
      <c r="M20" s="122"/>
    </row>
    <row r="21" spans="1:13" s="14" customFormat="1" ht="35" customHeight="1" x14ac:dyDescent="0.45">
      <c r="A21" s="135" t="s">
        <v>415</v>
      </c>
      <c r="B21" s="104">
        <v>3466</v>
      </c>
      <c r="C21" s="103" t="s">
        <v>139</v>
      </c>
      <c r="D21" s="105" t="s">
        <v>147</v>
      </c>
      <c r="E21" s="104" t="s">
        <v>27</v>
      </c>
      <c r="F21" s="123">
        <f>F17</f>
        <v>528</v>
      </c>
      <c r="G21" s="107">
        <v>11.12</v>
      </c>
      <c r="H21" s="107">
        <f t="shared" si="1"/>
        <v>5871.36</v>
      </c>
      <c r="I21" s="125">
        <f>'1. Serviços Manut. PREVENTIVA'!BDI</f>
        <v>0.23350000000000001</v>
      </c>
      <c r="J21" s="136">
        <f t="shared" si="2"/>
        <v>7242.32</v>
      </c>
      <c r="K21" s="122"/>
      <c r="L21" s="122"/>
      <c r="M21" s="122"/>
    </row>
    <row r="22" spans="1:13" s="14" customFormat="1" ht="35" customHeight="1" x14ac:dyDescent="0.45">
      <c r="A22" s="135" t="s">
        <v>416</v>
      </c>
      <c r="B22" s="104">
        <v>34780</v>
      </c>
      <c r="C22" s="103" t="s">
        <v>143</v>
      </c>
      <c r="D22" s="105" t="s">
        <v>129</v>
      </c>
      <c r="E22" s="104" t="s">
        <v>27</v>
      </c>
      <c r="F22" s="123">
        <f>K22</f>
        <v>384</v>
      </c>
      <c r="G22" s="107">
        <v>88.29</v>
      </c>
      <c r="H22" s="107">
        <f>ROUND(F22*G22,2)</f>
        <v>33903.360000000001</v>
      </c>
      <c r="I22" s="125">
        <f>'1. Serviços Manut. PREVENTIVA'!BDI</f>
        <v>0.23350000000000001</v>
      </c>
      <c r="J22" s="136">
        <f t="shared" si="2"/>
        <v>41819.79</v>
      </c>
      <c r="K22" s="124">
        <f>8*4*12</f>
        <v>384</v>
      </c>
      <c r="L22" s="122"/>
      <c r="M22" s="122"/>
    </row>
    <row r="23" spans="1:13" s="14" customFormat="1" ht="35" customHeight="1" thickBot="1" x14ac:dyDescent="0.5">
      <c r="A23" s="135" t="s">
        <v>417</v>
      </c>
      <c r="B23" s="137">
        <v>34783</v>
      </c>
      <c r="C23" s="138" t="s">
        <v>144</v>
      </c>
      <c r="D23" s="139" t="s">
        <v>128</v>
      </c>
      <c r="E23" s="137" t="s">
        <v>27</v>
      </c>
      <c r="F23" s="140">
        <f>F22</f>
        <v>384</v>
      </c>
      <c r="G23" s="141">
        <v>90.52</v>
      </c>
      <c r="H23" s="141">
        <f>ROUND(F23*G23,2)</f>
        <v>34759.68</v>
      </c>
      <c r="I23" s="142">
        <f>'1. Serviços Manut. PREVENTIVA'!BDI</f>
        <v>0.23350000000000001</v>
      </c>
      <c r="J23" s="143">
        <f t="shared" si="2"/>
        <v>42876.07</v>
      </c>
      <c r="K23" s="122"/>
      <c r="L23" s="122"/>
      <c r="M23" s="122"/>
    </row>
    <row r="24" spans="1:13" s="14" customFormat="1" ht="4.5" customHeight="1" thickBot="1" x14ac:dyDescent="0.5">
      <c r="A24" s="424"/>
      <c r="B24" s="425"/>
      <c r="C24" s="425"/>
      <c r="D24" s="425"/>
      <c r="E24" s="425"/>
      <c r="F24" s="425"/>
      <c r="G24" s="425"/>
      <c r="H24" s="425"/>
      <c r="I24" s="425"/>
      <c r="J24" s="426"/>
      <c r="K24" s="122"/>
      <c r="L24" s="122"/>
      <c r="M24" s="122"/>
    </row>
    <row r="25" spans="1:13" ht="50" customHeight="1" thickBot="1" x14ac:dyDescent="0.5">
      <c r="A25" s="422" t="s">
        <v>469</v>
      </c>
      <c r="B25" s="423"/>
      <c r="C25" s="423"/>
      <c r="D25" s="423"/>
      <c r="E25" s="423"/>
      <c r="F25" s="423"/>
      <c r="G25" s="423"/>
      <c r="H25" s="144">
        <f>SUM(H15:H23)</f>
        <v>157485.35</v>
      </c>
      <c r="I25" s="145">
        <f>I15</f>
        <v>0.23350000000000001</v>
      </c>
      <c r="J25" s="146">
        <f t="shared" ref="J25" si="3">SUM(J15:J23)</f>
        <v>194258.17</v>
      </c>
    </row>
    <row r="26" spans="1:13" ht="63.5" customHeight="1" thickBot="1" x14ac:dyDescent="0.5">
      <c r="A26" s="409" t="s">
        <v>506</v>
      </c>
      <c r="B26" s="410"/>
      <c r="C26" s="410"/>
      <c r="D26" s="410"/>
      <c r="E26" s="410"/>
      <c r="F26" s="410"/>
      <c r="G26" s="410"/>
      <c r="H26" s="410"/>
      <c r="I26" s="411"/>
      <c r="J26" s="339">
        <f>J25</f>
        <v>194258.17</v>
      </c>
    </row>
    <row r="27" spans="1:13" ht="30.5" customHeight="1" thickBot="1" x14ac:dyDescent="0.5">
      <c r="A27" s="412" t="s">
        <v>421</v>
      </c>
      <c r="B27" s="413"/>
      <c r="C27" s="413"/>
      <c r="D27" s="413"/>
      <c r="E27" s="413"/>
      <c r="F27" s="413"/>
      <c r="G27" s="413"/>
      <c r="H27" s="413"/>
      <c r="I27" s="414"/>
      <c r="J27" s="340">
        <v>12</v>
      </c>
    </row>
    <row r="28" spans="1:13" ht="67" customHeight="1" thickBot="1" x14ac:dyDescent="0.5">
      <c r="A28" s="409" t="s">
        <v>507</v>
      </c>
      <c r="B28" s="410"/>
      <c r="C28" s="410"/>
      <c r="D28" s="410"/>
      <c r="E28" s="410"/>
      <c r="F28" s="410"/>
      <c r="G28" s="410"/>
      <c r="H28" s="410"/>
      <c r="I28" s="411"/>
      <c r="J28" s="339">
        <f>J26/J27</f>
        <v>16188.180833333334</v>
      </c>
    </row>
  </sheetData>
  <mergeCells count="18">
    <mergeCell ref="A1:J4"/>
    <mergeCell ref="I6:J6"/>
    <mergeCell ref="A5:J5"/>
    <mergeCell ref="B8:J8"/>
    <mergeCell ref="I7:J7"/>
    <mergeCell ref="A26:I26"/>
    <mergeCell ref="A27:I27"/>
    <mergeCell ref="A28:I28"/>
    <mergeCell ref="B6:E6"/>
    <mergeCell ref="G6:H6"/>
    <mergeCell ref="A12:J12"/>
    <mergeCell ref="B14:J14"/>
    <mergeCell ref="A25:G25"/>
    <mergeCell ref="A24:J24"/>
    <mergeCell ref="A11:J11"/>
    <mergeCell ref="B9:J9"/>
    <mergeCell ref="A10:J10"/>
    <mergeCell ref="B7:H7"/>
  </mergeCells>
  <phoneticPr fontId="19" type="noConversion"/>
  <printOptions horizontalCentered="1"/>
  <pageMargins left="0.51180555555555496" right="0.51180555555555496" top="0.35416666666666702" bottom="0.55138888888888904" header="0.51180555555555496" footer="0.31527777777777799"/>
  <pageSetup paperSize="9" scale="50" firstPageNumber="0" orientation="portrait" horizontalDpi="300" verticalDpi="300" r:id="rId1"/>
  <headerFooter>
    <oddFooter>&amp;CPágina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807D2-D44D-41D5-899B-1DEBAAA77B7F}">
  <sheetPr>
    <tabColor rgb="FFFFFF00"/>
    <pageSetUpPr fitToPage="1"/>
  </sheetPr>
  <dimension ref="A1:N261"/>
  <sheetViews>
    <sheetView view="pageBreakPreview" zoomScaleNormal="115" zoomScaleSheetLayoutView="100" workbookViewId="0">
      <selection activeCell="G13" sqref="G13"/>
    </sheetView>
  </sheetViews>
  <sheetFormatPr defaultColWidth="9.1796875" defaultRowHeight="15.5" outlineLevelRow="1" x14ac:dyDescent="0.35"/>
  <cols>
    <col min="1" max="1" width="9" style="115" customWidth="1"/>
    <col min="2" max="2" width="7.6328125" style="115" customWidth="1"/>
    <col min="3" max="3" width="9.26953125" style="115" customWidth="1"/>
    <col min="4" max="4" width="70.81640625" style="186" customWidth="1"/>
    <col min="5" max="5" width="9.08984375" style="115" customWidth="1"/>
    <col min="6" max="6" width="13" style="115" customWidth="1"/>
    <col min="7" max="7" width="12.81640625" style="2" customWidth="1"/>
    <col min="8" max="8" width="14.1796875" style="115" customWidth="1"/>
    <col min="9" max="9" width="21.08984375" style="115" bestFit="1" customWidth="1"/>
    <col min="10" max="10" width="9.54296875" style="3" customWidth="1"/>
    <col min="11" max="11" width="13.6328125" style="4" hidden="1" customWidth="1"/>
  </cols>
  <sheetData>
    <row r="1" spans="1:14" ht="15.65" customHeight="1" thickBot="1" x14ac:dyDescent="0.4">
      <c r="A1" s="362" t="s">
        <v>17</v>
      </c>
      <c r="B1" s="362"/>
      <c r="C1" s="362"/>
      <c r="D1" s="362"/>
      <c r="E1" s="362"/>
      <c r="F1" s="362"/>
      <c r="G1" s="362"/>
      <c r="H1" s="362"/>
      <c r="I1" s="362"/>
    </row>
    <row r="2" spans="1:14" ht="16" thickBot="1" x14ac:dyDescent="0.4">
      <c r="A2" s="362"/>
      <c r="B2" s="362"/>
      <c r="C2" s="362"/>
      <c r="D2" s="362"/>
      <c r="E2" s="362"/>
      <c r="F2" s="362"/>
      <c r="G2" s="362"/>
      <c r="H2" s="362"/>
      <c r="I2" s="362"/>
    </row>
    <row r="3" spans="1:14" ht="76" customHeight="1" thickBot="1" x14ac:dyDescent="0.4">
      <c r="A3" s="362"/>
      <c r="B3" s="362"/>
      <c r="C3" s="362"/>
      <c r="D3" s="362"/>
      <c r="E3" s="362"/>
      <c r="F3" s="362"/>
      <c r="G3" s="362"/>
      <c r="H3" s="362"/>
      <c r="I3" s="362"/>
    </row>
    <row r="4" spans="1:14" ht="16" thickBot="1" x14ac:dyDescent="0.4">
      <c r="A4" s="362"/>
      <c r="B4" s="362"/>
      <c r="C4" s="362"/>
      <c r="D4" s="362"/>
      <c r="E4" s="362"/>
      <c r="F4" s="362"/>
      <c r="G4" s="362"/>
      <c r="H4" s="362"/>
      <c r="I4" s="362"/>
    </row>
    <row r="5" spans="1:14" ht="1" customHeight="1" thickBot="1" x14ac:dyDescent="0.4">
      <c r="A5" s="405"/>
      <c r="B5" s="405"/>
      <c r="C5" s="405"/>
      <c r="D5" s="405"/>
      <c r="E5" s="405"/>
      <c r="F5" s="405"/>
      <c r="G5" s="405"/>
      <c r="H5" s="405"/>
      <c r="I5" s="405"/>
    </row>
    <row r="6" spans="1:14" ht="24" customHeight="1" thickBot="1" x14ac:dyDescent="0.4">
      <c r="A6" s="406" t="s">
        <v>438</v>
      </c>
      <c r="B6" s="406"/>
      <c r="C6" s="406"/>
      <c r="D6" s="406"/>
      <c r="E6" s="406"/>
      <c r="F6" s="406"/>
      <c r="G6" s="406"/>
      <c r="H6" s="406"/>
      <c r="I6" s="406"/>
    </row>
    <row r="7" spans="1:14" ht="60.5" customHeight="1" thickBot="1" x14ac:dyDescent="0.4">
      <c r="A7" s="190" t="s">
        <v>0</v>
      </c>
      <c r="B7" s="482" t="s">
        <v>433</v>
      </c>
      <c r="C7" s="483"/>
      <c r="D7" s="483"/>
      <c r="E7" s="483"/>
      <c r="F7" s="483"/>
      <c r="G7" s="483"/>
      <c r="H7" s="483"/>
      <c r="I7" s="484"/>
    </row>
    <row r="8" spans="1:14" ht="37.5" customHeight="1" thickBot="1" x14ac:dyDescent="0.4">
      <c r="A8" s="190" t="s">
        <v>1</v>
      </c>
      <c r="B8" s="485" t="s">
        <v>2</v>
      </c>
      <c r="C8" s="486"/>
      <c r="D8" s="486"/>
      <c r="E8" s="486"/>
      <c r="F8" s="487"/>
      <c r="G8" s="191" t="s">
        <v>130</v>
      </c>
      <c r="H8" s="192" t="s">
        <v>25</v>
      </c>
      <c r="I8" s="191" t="s">
        <v>434</v>
      </c>
    </row>
    <row r="9" spans="1:14" ht="29" customHeight="1" thickBot="1" x14ac:dyDescent="0.4">
      <c r="A9" s="190" t="s">
        <v>3</v>
      </c>
      <c r="B9" s="485" t="s">
        <v>149</v>
      </c>
      <c r="C9" s="486"/>
      <c r="D9" s="486"/>
      <c r="E9" s="486"/>
      <c r="F9" s="487"/>
      <c r="G9" s="475" t="s">
        <v>45</v>
      </c>
      <c r="H9" s="476"/>
      <c r="I9" s="348">
        <f>'Composição BDI'!C14</f>
        <v>0.23350000000000001</v>
      </c>
    </row>
    <row r="10" spans="1:14" ht="32.5" customHeight="1" thickBot="1" x14ac:dyDescent="0.4">
      <c r="A10" s="190" t="s">
        <v>4</v>
      </c>
      <c r="B10" s="485" t="s">
        <v>163</v>
      </c>
      <c r="C10" s="488"/>
      <c r="D10" s="488"/>
      <c r="E10" s="488"/>
      <c r="F10" s="489"/>
      <c r="G10" s="477"/>
      <c r="H10" s="478"/>
      <c r="I10" s="197"/>
    </row>
    <row r="11" spans="1:14" s="188" customFormat="1" ht="51.5" customHeight="1" thickBot="1" x14ac:dyDescent="0.4">
      <c r="A11" s="479" t="s">
        <v>500</v>
      </c>
      <c r="B11" s="480"/>
      <c r="C11" s="480"/>
      <c r="D11" s="480"/>
      <c r="E11" s="480"/>
      <c r="F11" s="480"/>
      <c r="G11" s="480"/>
      <c r="H11" s="480"/>
      <c r="I11" s="481"/>
      <c r="J11" s="3"/>
      <c r="K11" s="4"/>
    </row>
    <row r="12" spans="1:14" ht="31" customHeight="1" thickBot="1" x14ac:dyDescent="0.4">
      <c r="A12" s="472" t="s">
        <v>479</v>
      </c>
      <c r="B12" s="472"/>
      <c r="C12" s="472"/>
      <c r="D12" s="472"/>
      <c r="E12" s="472"/>
      <c r="F12" s="472"/>
      <c r="G12" s="472"/>
      <c r="H12" s="472"/>
      <c r="I12" s="472"/>
    </row>
    <row r="13" spans="1:14" s="10" customFormat="1" ht="51.5" customHeight="1" thickBot="1" x14ac:dyDescent="0.35">
      <c r="A13" s="178" t="s">
        <v>166</v>
      </c>
      <c r="B13" s="178" t="s">
        <v>165</v>
      </c>
      <c r="C13" s="178" t="s">
        <v>167</v>
      </c>
      <c r="D13" s="183" t="s">
        <v>6</v>
      </c>
      <c r="E13" s="178" t="s">
        <v>7</v>
      </c>
      <c r="F13" s="178" t="s">
        <v>270</v>
      </c>
      <c r="G13" s="349" t="s">
        <v>271</v>
      </c>
      <c r="H13" s="178" t="s">
        <v>269</v>
      </c>
      <c r="I13" s="198" t="s">
        <v>272</v>
      </c>
      <c r="J13" s="199" t="s">
        <v>50</v>
      </c>
      <c r="K13" s="200" t="s">
        <v>51</v>
      </c>
      <c r="L13" s="9" t="s">
        <v>52</v>
      </c>
      <c r="M13" s="9" t="s">
        <v>53</v>
      </c>
      <c r="N13" s="9" t="s">
        <v>54</v>
      </c>
    </row>
    <row r="14" spans="1:14" s="87" customFormat="1" ht="30" customHeight="1" thickBot="1" x14ac:dyDescent="0.4">
      <c r="A14" s="114">
        <v>1</v>
      </c>
      <c r="B14" s="419" t="s">
        <v>173</v>
      </c>
      <c r="C14" s="420"/>
      <c r="D14" s="420"/>
      <c r="E14" s="420"/>
      <c r="F14" s="420"/>
      <c r="G14" s="420"/>
      <c r="H14" s="420"/>
      <c r="I14" s="420"/>
      <c r="J14" s="70"/>
      <c r="K14" s="12"/>
    </row>
    <row r="15" spans="1:14" s="14" customFormat="1" ht="45" customHeight="1" outlineLevel="1" x14ac:dyDescent="0.25">
      <c r="A15" s="169" t="s">
        <v>9</v>
      </c>
      <c r="B15" s="170" t="s">
        <v>25</v>
      </c>
      <c r="C15" s="170">
        <v>102113</v>
      </c>
      <c r="D15" s="181" t="s">
        <v>168</v>
      </c>
      <c r="E15" s="171" t="s">
        <v>7</v>
      </c>
      <c r="F15" s="171">
        <v>5</v>
      </c>
      <c r="G15" s="172">
        <v>1558.02</v>
      </c>
      <c r="H15" s="171">
        <f>ROUND(F15*G15,2)</f>
        <v>7790.1</v>
      </c>
      <c r="I15" s="173">
        <f t="shared" ref="I15:I23" si="0">ROUND(H15*(1+$I$9),2)</f>
        <v>9609.09</v>
      </c>
      <c r="J15" s="70"/>
      <c r="K15" s="11"/>
    </row>
    <row r="16" spans="1:14" s="13" customFormat="1" ht="45" customHeight="1" outlineLevel="1" x14ac:dyDescent="0.25">
      <c r="A16" s="174" t="s">
        <v>14</v>
      </c>
      <c r="B16" s="160" t="str">
        <f>B15</f>
        <v>SINAPI</v>
      </c>
      <c r="C16" s="160">
        <v>102115</v>
      </c>
      <c r="D16" s="180" t="s">
        <v>169</v>
      </c>
      <c r="E16" s="161" t="s">
        <v>7</v>
      </c>
      <c r="F16" s="161">
        <v>5</v>
      </c>
      <c r="G16" s="162">
        <v>1559.02</v>
      </c>
      <c r="H16" s="161">
        <f>ROUND(F16*G16,2)</f>
        <v>7795.1</v>
      </c>
      <c r="I16" s="175">
        <f t="shared" si="0"/>
        <v>9615.26</v>
      </c>
      <c r="J16" s="70"/>
      <c r="K16" s="11"/>
    </row>
    <row r="17" spans="1:11" s="13" customFormat="1" ht="45" customHeight="1" outlineLevel="1" x14ac:dyDescent="0.25">
      <c r="A17" s="176" t="s">
        <v>15</v>
      </c>
      <c r="B17" s="40" t="str">
        <f>B16</f>
        <v>SINAPI</v>
      </c>
      <c r="C17" s="40">
        <v>102116</v>
      </c>
      <c r="D17" s="52" t="s">
        <v>170</v>
      </c>
      <c r="E17" s="42" t="s">
        <v>7</v>
      </c>
      <c r="F17" s="42">
        <v>5</v>
      </c>
      <c r="G17" s="43">
        <v>1665.4</v>
      </c>
      <c r="H17" s="42">
        <f t="shared" ref="H17:H36" si="1">ROUND(F17*G17,2)</f>
        <v>8327</v>
      </c>
      <c r="I17" s="177">
        <f t="shared" si="0"/>
        <v>10271.35</v>
      </c>
      <c r="J17" s="70"/>
      <c r="K17" s="11"/>
    </row>
    <row r="18" spans="1:11" s="13" customFormat="1" ht="45" customHeight="1" outlineLevel="1" x14ac:dyDescent="0.25">
      <c r="A18" s="174" t="s">
        <v>16</v>
      </c>
      <c r="B18" s="160" t="str">
        <f>B15</f>
        <v>SINAPI</v>
      </c>
      <c r="C18" s="160">
        <v>102118</v>
      </c>
      <c r="D18" s="180" t="s">
        <v>171</v>
      </c>
      <c r="E18" s="161" t="s">
        <v>7</v>
      </c>
      <c r="F18" s="161">
        <v>5</v>
      </c>
      <c r="G18" s="162">
        <v>2280.1799999999998</v>
      </c>
      <c r="H18" s="161">
        <f t="shared" si="1"/>
        <v>11400.9</v>
      </c>
      <c r="I18" s="175">
        <f t="shared" si="0"/>
        <v>14063.01</v>
      </c>
      <c r="J18" s="70"/>
      <c r="K18" s="11"/>
    </row>
    <row r="19" spans="1:11" s="13" customFormat="1" ht="45" customHeight="1" outlineLevel="1" x14ac:dyDescent="0.25">
      <c r="A19" s="176" t="s">
        <v>60</v>
      </c>
      <c r="B19" s="40" t="s">
        <v>25</v>
      </c>
      <c r="C19" s="40">
        <v>102122</v>
      </c>
      <c r="D19" s="52" t="s">
        <v>172</v>
      </c>
      <c r="E19" s="42" t="s">
        <v>7</v>
      </c>
      <c r="F19" s="42">
        <v>5</v>
      </c>
      <c r="G19" s="43">
        <v>7776.66</v>
      </c>
      <c r="H19" s="42">
        <f t="shared" si="1"/>
        <v>38883.300000000003</v>
      </c>
      <c r="I19" s="177">
        <f t="shared" si="0"/>
        <v>47962.55</v>
      </c>
      <c r="J19" s="70"/>
      <c r="K19" s="11"/>
    </row>
    <row r="20" spans="1:11" s="13" customFormat="1" ht="45" customHeight="1" outlineLevel="1" x14ac:dyDescent="0.25">
      <c r="A20" s="174" t="s">
        <v>62</v>
      </c>
      <c r="B20" s="160" t="s">
        <v>25</v>
      </c>
      <c r="C20" s="160">
        <v>94483</v>
      </c>
      <c r="D20" s="180" t="s">
        <v>260</v>
      </c>
      <c r="E20" s="161" t="s">
        <v>7</v>
      </c>
      <c r="F20" s="161">
        <v>2</v>
      </c>
      <c r="G20" s="162">
        <v>1128.0999999999999</v>
      </c>
      <c r="H20" s="161">
        <f t="shared" si="1"/>
        <v>2256.1999999999998</v>
      </c>
      <c r="I20" s="175">
        <f t="shared" si="0"/>
        <v>2783.02</v>
      </c>
      <c r="J20" s="70"/>
      <c r="K20" s="11"/>
    </row>
    <row r="21" spans="1:11" s="13" customFormat="1" ht="45" customHeight="1" outlineLevel="1" x14ac:dyDescent="0.25">
      <c r="A21" s="176" t="s">
        <v>64</v>
      </c>
      <c r="B21" s="40" t="s">
        <v>25</v>
      </c>
      <c r="C21" s="40">
        <v>94482</v>
      </c>
      <c r="D21" s="52" t="s">
        <v>261</v>
      </c>
      <c r="E21" s="42" t="s">
        <v>7</v>
      </c>
      <c r="F21" s="42">
        <v>2</v>
      </c>
      <c r="G21" s="43">
        <v>1346.97</v>
      </c>
      <c r="H21" s="42">
        <f t="shared" si="1"/>
        <v>2693.94</v>
      </c>
      <c r="I21" s="177">
        <f t="shared" si="0"/>
        <v>3322.97</v>
      </c>
      <c r="J21" s="70"/>
      <c r="K21" s="11"/>
    </row>
    <row r="22" spans="1:11" s="13" customFormat="1" ht="45" customHeight="1" outlineLevel="1" x14ac:dyDescent="0.25">
      <c r="A22" s="174" t="s">
        <v>66</v>
      </c>
      <c r="B22" s="160" t="s">
        <v>25</v>
      </c>
      <c r="C22" s="160">
        <f>[1]sheet1!$A$580</f>
        <v>737</v>
      </c>
      <c r="D22" s="180" t="str">
        <f>[1]sheet1!$B$580</f>
        <v xml:space="preserve">BOMBA CENTRIFUGA MOTOR ELETRICO TRIFASICO 14,8 HP, DIAMETRO DE SUCCAO X ELEVACAO 2 1/2" X 2", DIAMETRO DO ROTOR 195 MM, HM/Q: 62 M / 55,5 M3/H A 80 M / 31,50 M3/H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2" s="161" t="s">
        <v>7</v>
      </c>
      <c r="F22" s="161">
        <v>5</v>
      </c>
      <c r="G22" s="162" t="str">
        <f>[1]sheet1!$E$580</f>
        <v>8.095,85</v>
      </c>
      <c r="H22" s="161">
        <f t="shared" ref="H22:H23" si="2">ROUND(F22*G22,2)</f>
        <v>40479.25</v>
      </c>
      <c r="I22" s="175">
        <f t="shared" si="0"/>
        <v>49931.15</v>
      </c>
      <c r="J22" s="70"/>
      <c r="K22" s="11"/>
    </row>
    <row r="23" spans="1:11" s="13" customFormat="1" ht="45" customHeight="1" outlineLevel="1" thickBot="1" x14ac:dyDescent="0.3">
      <c r="A23" s="176" t="s">
        <v>68</v>
      </c>
      <c r="B23" s="40" t="s">
        <v>25</v>
      </c>
      <c r="C23" s="40">
        <v>738</v>
      </c>
      <c r="D23" s="52" t="str">
        <f>[1]sheet1!$B$581</f>
        <v xml:space="preserve">BOMBA CENTRIFUGA MOTOR ELETRICO TRIFASICO 5HP, DIAMETRO DE SUCCAO X ELEVACAO 2" X 1 1/2", DIAMETRO DO ROTOR 155 MM, HM/Q: 40 M / 20,40 M3/H A 46 M / 9,20 M3/H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3" s="42" t="s">
        <v>7</v>
      </c>
      <c r="F23" s="42">
        <v>5</v>
      </c>
      <c r="G23" s="43" t="str">
        <f>[1]sheet1!$E$581</f>
        <v>3.753,99</v>
      </c>
      <c r="H23" s="42">
        <f t="shared" si="2"/>
        <v>18769.95</v>
      </c>
      <c r="I23" s="177">
        <f t="shared" si="0"/>
        <v>23152.73</v>
      </c>
      <c r="J23" s="70"/>
      <c r="K23" s="11"/>
    </row>
    <row r="24" spans="1:11" s="13" customFormat="1" ht="30" customHeight="1" thickBot="1" x14ac:dyDescent="0.3">
      <c r="A24" s="469" t="s">
        <v>402</v>
      </c>
      <c r="B24" s="470"/>
      <c r="C24" s="470"/>
      <c r="D24" s="470"/>
      <c r="E24" s="470"/>
      <c r="F24" s="470"/>
      <c r="G24" s="470"/>
      <c r="H24" s="471"/>
      <c r="I24" s="168">
        <f>SUM(I15:I23)</f>
        <v>170711.13000000003</v>
      </c>
      <c r="J24" s="70"/>
      <c r="K24" s="11"/>
    </row>
    <row r="25" spans="1:11" s="13" customFormat="1" ht="8" customHeight="1" thickBot="1" x14ac:dyDescent="0.3">
      <c r="A25" s="473"/>
      <c r="B25" s="474"/>
      <c r="C25" s="474"/>
      <c r="D25" s="474"/>
      <c r="E25" s="474"/>
      <c r="F25" s="474"/>
      <c r="G25" s="474"/>
      <c r="H25" s="474"/>
      <c r="I25" s="474"/>
      <c r="J25" s="70"/>
      <c r="K25" s="11"/>
    </row>
    <row r="26" spans="1:11" s="13" customFormat="1" ht="47" customHeight="1" thickBot="1" x14ac:dyDescent="0.3">
      <c r="A26" s="114">
        <v>2</v>
      </c>
      <c r="B26" s="419" t="s">
        <v>262</v>
      </c>
      <c r="C26" s="420"/>
      <c r="D26" s="420"/>
      <c r="E26" s="420"/>
      <c r="F26" s="420"/>
      <c r="G26" s="420"/>
      <c r="H26" s="420"/>
      <c r="I26" s="420"/>
      <c r="J26" s="11"/>
      <c r="K26" s="11"/>
    </row>
    <row r="27" spans="1:11" s="13" customFormat="1" ht="47" customHeight="1" outlineLevel="1" thickBot="1" x14ac:dyDescent="0.3">
      <c r="A27" s="178" t="s">
        <v>166</v>
      </c>
      <c r="B27" s="178" t="s">
        <v>165</v>
      </c>
      <c r="C27" s="178" t="s">
        <v>167</v>
      </c>
      <c r="D27" s="183" t="s">
        <v>6</v>
      </c>
      <c r="E27" s="178" t="s">
        <v>7</v>
      </c>
      <c r="F27" s="178" t="s">
        <v>270</v>
      </c>
      <c r="G27" s="179" t="s">
        <v>271</v>
      </c>
      <c r="H27" s="178" t="s">
        <v>269</v>
      </c>
      <c r="I27" s="178" t="s">
        <v>272</v>
      </c>
      <c r="J27" s="11"/>
      <c r="K27" s="11"/>
    </row>
    <row r="28" spans="1:11" s="13" customFormat="1" ht="50" customHeight="1" outlineLevel="1" x14ac:dyDescent="0.25">
      <c r="A28" s="40" t="s">
        <v>10</v>
      </c>
      <c r="B28" s="40" t="s">
        <v>25</v>
      </c>
      <c r="C28" s="40">
        <v>97599</v>
      </c>
      <c r="D28" s="52" t="s">
        <v>263</v>
      </c>
      <c r="E28" s="42" t="s">
        <v>7</v>
      </c>
      <c r="F28" s="42">
        <v>200</v>
      </c>
      <c r="G28" s="43">
        <v>29.2</v>
      </c>
      <c r="H28" s="42">
        <f t="shared" si="1"/>
        <v>5840</v>
      </c>
      <c r="I28" s="159">
        <f t="shared" ref="I28:I36" si="3">ROUND(H28*(1+$I$9),2)</f>
        <v>7203.64</v>
      </c>
      <c r="J28" s="11"/>
      <c r="K28" s="11"/>
    </row>
    <row r="29" spans="1:11" s="13" customFormat="1" ht="50" customHeight="1" outlineLevel="1" x14ac:dyDescent="0.25">
      <c r="A29" s="160" t="s">
        <v>11</v>
      </c>
      <c r="B29" s="160" t="s">
        <v>25</v>
      </c>
      <c r="C29" s="160">
        <v>37557</v>
      </c>
      <c r="D29" s="180" t="s">
        <v>264</v>
      </c>
      <c r="E29" s="161" t="s">
        <v>7</v>
      </c>
      <c r="F29" s="161">
        <v>50</v>
      </c>
      <c r="G29" s="162">
        <v>14.44</v>
      </c>
      <c r="H29" s="161">
        <f t="shared" si="1"/>
        <v>722</v>
      </c>
      <c r="I29" s="163">
        <f t="shared" si="3"/>
        <v>890.59</v>
      </c>
      <c r="J29" s="11"/>
      <c r="K29" s="11"/>
    </row>
    <row r="30" spans="1:11" s="13" customFormat="1" ht="50" customHeight="1" outlineLevel="1" x14ac:dyDescent="0.25">
      <c r="A30" s="40" t="s">
        <v>12</v>
      </c>
      <c r="B30" s="40" t="s">
        <v>25</v>
      </c>
      <c r="C30" s="40">
        <v>37556</v>
      </c>
      <c r="D30" s="52" t="s">
        <v>265</v>
      </c>
      <c r="E30" s="42" t="s">
        <v>7</v>
      </c>
      <c r="F30" s="42">
        <v>50</v>
      </c>
      <c r="G30" s="43">
        <v>27.94</v>
      </c>
      <c r="H30" s="42">
        <f t="shared" si="1"/>
        <v>1397</v>
      </c>
      <c r="I30" s="159">
        <f t="shared" si="3"/>
        <v>1723.2</v>
      </c>
      <c r="J30" s="11"/>
      <c r="K30" s="11"/>
    </row>
    <row r="31" spans="1:11" s="13" customFormat="1" ht="50" customHeight="1" outlineLevel="1" x14ac:dyDescent="0.25">
      <c r="A31" s="160" t="s">
        <v>13</v>
      </c>
      <c r="B31" s="160" t="s">
        <v>25</v>
      </c>
      <c r="C31" s="160">
        <v>37559</v>
      </c>
      <c r="D31" s="180" t="s">
        <v>266</v>
      </c>
      <c r="E31" s="161" t="s">
        <v>7</v>
      </c>
      <c r="F31" s="161">
        <v>50</v>
      </c>
      <c r="G31" s="162">
        <v>34.28</v>
      </c>
      <c r="H31" s="161">
        <f t="shared" si="1"/>
        <v>1714</v>
      </c>
      <c r="I31" s="163">
        <f t="shared" si="3"/>
        <v>2114.2199999999998</v>
      </c>
      <c r="J31" s="11"/>
      <c r="K31" s="11"/>
    </row>
    <row r="32" spans="1:11" s="13" customFormat="1" ht="50" customHeight="1" outlineLevel="1" x14ac:dyDescent="0.25">
      <c r="A32" s="40" t="s">
        <v>75</v>
      </c>
      <c r="B32" s="40" t="s">
        <v>25</v>
      </c>
      <c r="C32" s="40">
        <v>37539</v>
      </c>
      <c r="D32" s="52" t="s">
        <v>267</v>
      </c>
      <c r="E32" s="42" t="s">
        <v>7</v>
      </c>
      <c r="F32" s="42">
        <v>50</v>
      </c>
      <c r="G32" s="43">
        <v>24.16</v>
      </c>
      <c r="H32" s="42">
        <f t="shared" si="1"/>
        <v>1208</v>
      </c>
      <c r="I32" s="159">
        <f t="shared" si="3"/>
        <v>1490.07</v>
      </c>
      <c r="J32" s="11"/>
      <c r="K32" s="11"/>
    </row>
    <row r="33" spans="1:11" s="13" customFormat="1" ht="50" customHeight="1" outlineLevel="1" x14ac:dyDescent="0.25">
      <c r="A33" s="160" t="s">
        <v>76</v>
      </c>
      <c r="B33" s="160" t="s">
        <v>25</v>
      </c>
      <c r="C33" s="160">
        <v>37558</v>
      </c>
      <c r="D33" s="180" t="s">
        <v>268</v>
      </c>
      <c r="E33" s="161" t="s">
        <v>7</v>
      </c>
      <c r="F33" s="161">
        <v>50</v>
      </c>
      <c r="G33" s="162">
        <v>45.04</v>
      </c>
      <c r="H33" s="161">
        <f t="shared" si="1"/>
        <v>2252</v>
      </c>
      <c r="I33" s="163">
        <f t="shared" si="3"/>
        <v>2777.84</v>
      </c>
      <c r="J33" s="11"/>
      <c r="K33" s="11"/>
    </row>
    <row r="34" spans="1:11" s="13" customFormat="1" ht="50" customHeight="1" outlineLevel="1" x14ac:dyDescent="0.25">
      <c r="A34" s="40" t="s">
        <v>78</v>
      </c>
      <c r="B34" s="40" t="s">
        <v>25</v>
      </c>
      <c r="C34" s="40">
        <v>37560</v>
      </c>
      <c r="D34" s="52" t="s">
        <v>273</v>
      </c>
      <c r="E34" s="42" t="s">
        <v>7</v>
      </c>
      <c r="F34" s="42">
        <v>50</v>
      </c>
      <c r="G34" s="43">
        <v>47.56</v>
      </c>
      <c r="H34" s="42">
        <f t="shared" si="1"/>
        <v>2378</v>
      </c>
      <c r="I34" s="159">
        <f t="shared" si="3"/>
        <v>2933.26</v>
      </c>
      <c r="J34" s="11"/>
      <c r="K34" s="11"/>
    </row>
    <row r="35" spans="1:11" s="13" customFormat="1" ht="50" customHeight="1" outlineLevel="1" x14ac:dyDescent="0.25">
      <c r="A35" s="160" t="s">
        <v>79</v>
      </c>
      <c r="B35" s="160" t="s">
        <v>25</v>
      </c>
      <c r="C35" s="160">
        <v>38121</v>
      </c>
      <c r="D35" s="180" t="s">
        <v>274</v>
      </c>
      <c r="E35" s="161" t="s">
        <v>160</v>
      </c>
      <c r="F35" s="161">
        <v>40</v>
      </c>
      <c r="G35" s="162">
        <v>18.55</v>
      </c>
      <c r="H35" s="161">
        <f t="shared" si="1"/>
        <v>742</v>
      </c>
      <c r="I35" s="163">
        <f t="shared" si="3"/>
        <v>915.26</v>
      </c>
      <c r="J35" s="11"/>
      <c r="K35" s="11"/>
    </row>
    <row r="36" spans="1:11" s="13" customFormat="1" ht="50" customHeight="1" outlineLevel="1" thickBot="1" x14ac:dyDescent="0.3">
      <c r="A36" s="40" t="s">
        <v>174</v>
      </c>
      <c r="B36" s="40" t="s">
        <v>25</v>
      </c>
      <c r="C36" s="40">
        <v>43776</v>
      </c>
      <c r="D36" s="52" t="s">
        <v>275</v>
      </c>
      <c r="E36" s="42" t="s">
        <v>160</v>
      </c>
      <c r="F36" s="42">
        <v>40</v>
      </c>
      <c r="G36" s="43">
        <v>24.64</v>
      </c>
      <c r="H36" s="42">
        <f t="shared" si="1"/>
        <v>985.6</v>
      </c>
      <c r="I36" s="159">
        <f t="shared" si="3"/>
        <v>1215.74</v>
      </c>
      <c r="J36" s="11"/>
      <c r="K36" s="11"/>
    </row>
    <row r="37" spans="1:11" s="13" customFormat="1" ht="30" customHeight="1" thickBot="1" x14ac:dyDescent="0.3">
      <c r="A37" s="469" t="s">
        <v>403</v>
      </c>
      <c r="B37" s="470"/>
      <c r="C37" s="470"/>
      <c r="D37" s="470"/>
      <c r="E37" s="470"/>
      <c r="F37" s="470"/>
      <c r="G37" s="470"/>
      <c r="H37" s="471"/>
      <c r="I37" s="168">
        <f>SUM(I28:I36)</f>
        <v>21263.82</v>
      </c>
      <c r="J37" s="70"/>
      <c r="K37" s="11"/>
    </row>
    <row r="38" spans="1:11" s="13" customFormat="1" ht="7.5" customHeight="1" thickBot="1" x14ac:dyDescent="0.3">
      <c r="A38" s="467"/>
      <c r="B38" s="467"/>
      <c r="C38" s="467"/>
      <c r="D38" s="467"/>
      <c r="E38" s="467"/>
      <c r="F38" s="467"/>
      <c r="G38" s="467"/>
      <c r="H38" s="467"/>
      <c r="I38" s="468"/>
      <c r="J38" s="11"/>
      <c r="K38" s="11"/>
    </row>
    <row r="39" spans="1:11" s="13" customFormat="1" ht="35" customHeight="1" thickBot="1" x14ac:dyDescent="0.3">
      <c r="A39" s="114">
        <v>3</v>
      </c>
      <c r="B39" s="419" t="s">
        <v>401</v>
      </c>
      <c r="C39" s="420"/>
      <c r="D39" s="420"/>
      <c r="E39" s="420"/>
      <c r="F39" s="420"/>
      <c r="G39" s="420"/>
      <c r="H39" s="420"/>
      <c r="I39" s="420"/>
      <c r="J39" s="11"/>
      <c r="K39" s="11"/>
    </row>
    <row r="40" spans="1:11" s="13" customFormat="1" ht="44" customHeight="1" outlineLevel="1" thickBot="1" x14ac:dyDescent="0.3">
      <c r="A40" s="178" t="s">
        <v>166</v>
      </c>
      <c r="B40" s="178" t="s">
        <v>165</v>
      </c>
      <c r="C40" s="178" t="s">
        <v>167</v>
      </c>
      <c r="D40" s="183" t="s">
        <v>6</v>
      </c>
      <c r="E40" s="178" t="s">
        <v>7</v>
      </c>
      <c r="F40" s="178" t="s">
        <v>270</v>
      </c>
      <c r="G40" s="179" t="s">
        <v>271</v>
      </c>
      <c r="H40" s="178" t="s">
        <v>269</v>
      </c>
      <c r="I40" s="178" t="s">
        <v>272</v>
      </c>
      <c r="J40" s="11"/>
      <c r="K40" s="11"/>
    </row>
    <row r="41" spans="1:11" s="13" customFormat="1" ht="63.5" customHeight="1" outlineLevel="1" x14ac:dyDescent="0.25">
      <c r="A41" s="40" t="s">
        <v>38</v>
      </c>
      <c r="B41" s="40" t="s">
        <v>25</v>
      </c>
      <c r="C41" s="40">
        <v>96765</v>
      </c>
      <c r="D41" s="52" t="s">
        <v>276</v>
      </c>
      <c r="E41" s="42" t="s">
        <v>7</v>
      </c>
      <c r="F41" s="42">
        <v>1</v>
      </c>
      <c r="G41" s="43">
        <v>1232.3699999999999</v>
      </c>
      <c r="H41" s="42">
        <f t="shared" ref="H41:H42" si="4">ROUND(F41*G41,2)</f>
        <v>1232.3699999999999</v>
      </c>
      <c r="I41" s="159">
        <f t="shared" ref="I41:I50" si="5">ROUND(H41*(1+$I$9),2)</f>
        <v>1520.13</v>
      </c>
      <c r="J41" s="11"/>
      <c r="K41" s="11"/>
    </row>
    <row r="42" spans="1:11" s="13" customFormat="1" ht="63.5" customHeight="1" outlineLevel="1" x14ac:dyDescent="0.25">
      <c r="A42" s="160" t="s">
        <v>40</v>
      </c>
      <c r="B42" s="160" t="s">
        <v>25</v>
      </c>
      <c r="C42" s="160">
        <v>101912</v>
      </c>
      <c r="D42" s="180" t="s">
        <v>277</v>
      </c>
      <c r="E42" s="161" t="s">
        <v>7</v>
      </c>
      <c r="F42" s="161">
        <v>1</v>
      </c>
      <c r="G42" s="162">
        <v>1546.84</v>
      </c>
      <c r="H42" s="161">
        <f t="shared" si="4"/>
        <v>1546.84</v>
      </c>
      <c r="I42" s="163">
        <f t="shared" si="5"/>
        <v>1908.03</v>
      </c>
      <c r="J42" s="11"/>
      <c r="K42" s="11"/>
    </row>
    <row r="43" spans="1:11" s="13" customFormat="1" ht="50" customHeight="1" outlineLevel="1" x14ac:dyDescent="0.25">
      <c r="A43" s="40" t="s">
        <v>42</v>
      </c>
      <c r="B43" s="40" t="s">
        <v>25</v>
      </c>
      <c r="C43" s="40">
        <v>101913</v>
      </c>
      <c r="D43" s="52" t="s">
        <v>278</v>
      </c>
      <c r="E43" s="42" t="s">
        <v>7</v>
      </c>
      <c r="F43" s="42">
        <v>1</v>
      </c>
      <c r="G43" s="43">
        <v>514.09</v>
      </c>
      <c r="H43" s="42">
        <f t="shared" ref="H43:H50" si="6">ROUND(F43*G43,2)</f>
        <v>514.09</v>
      </c>
      <c r="I43" s="159">
        <f t="shared" si="5"/>
        <v>634.13</v>
      </c>
      <c r="J43" s="11"/>
      <c r="K43" s="11"/>
    </row>
    <row r="44" spans="1:11" s="13" customFormat="1" ht="50" customHeight="1" outlineLevel="1" x14ac:dyDescent="0.25">
      <c r="A44" s="160" t="s">
        <v>84</v>
      </c>
      <c r="B44" s="160" t="s">
        <v>25</v>
      </c>
      <c r="C44" s="160">
        <v>101914</v>
      </c>
      <c r="D44" s="180" t="s">
        <v>279</v>
      </c>
      <c r="E44" s="161" t="s">
        <v>7</v>
      </c>
      <c r="F44" s="161">
        <v>186</v>
      </c>
      <c r="G44" s="162">
        <v>441.88</v>
      </c>
      <c r="H44" s="161">
        <f t="shared" si="6"/>
        <v>82189.679999999993</v>
      </c>
      <c r="I44" s="163">
        <f t="shared" si="5"/>
        <v>101380.97</v>
      </c>
      <c r="J44" s="11"/>
      <c r="K44" s="11"/>
    </row>
    <row r="45" spans="1:11" s="13" customFormat="1" ht="50" customHeight="1" outlineLevel="1" x14ac:dyDescent="0.25">
      <c r="A45" s="40" t="s">
        <v>86</v>
      </c>
      <c r="B45" s="40" t="s">
        <v>25</v>
      </c>
      <c r="C45" s="40">
        <v>101915</v>
      </c>
      <c r="D45" s="52" t="s">
        <v>280</v>
      </c>
      <c r="E45" s="42" t="s">
        <v>7</v>
      </c>
      <c r="F45" s="42">
        <v>184</v>
      </c>
      <c r="G45" s="43">
        <v>275.57</v>
      </c>
      <c r="H45" s="42">
        <f t="shared" si="6"/>
        <v>50704.88</v>
      </c>
      <c r="I45" s="159">
        <f t="shared" si="5"/>
        <v>62544.47</v>
      </c>
      <c r="J45" s="11"/>
      <c r="K45" s="11"/>
    </row>
    <row r="46" spans="1:11" s="13" customFormat="1" ht="50" customHeight="1" outlineLevel="1" x14ac:dyDescent="0.25">
      <c r="A46" s="160" t="s">
        <v>88</v>
      </c>
      <c r="B46" s="160" t="s">
        <v>25</v>
      </c>
      <c r="C46" s="160">
        <v>101916</v>
      </c>
      <c r="D46" s="180" t="s">
        <v>281</v>
      </c>
      <c r="E46" s="161" t="s">
        <v>7</v>
      </c>
      <c r="F46" s="161">
        <v>5</v>
      </c>
      <c r="G46" s="162">
        <v>3133.1</v>
      </c>
      <c r="H46" s="161">
        <f t="shared" si="6"/>
        <v>15665.5</v>
      </c>
      <c r="I46" s="163">
        <f t="shared" si="5"/>
        <v>19323.39</v>
      </c>
      <c r="J46" s="11"/>
      <c r="K46" s="11"/>
    </row>
    <row r="47" spans="1:11" s="13" customFormat="1" ht="50" customHeight="1" outlineLevel="1" x14ac:dyDescent="0.25">
      <c r="A47" s="40" t="s">
        <v>90</v>
      </c>
      <c r="B47" s="40" t="s">
        <v>25</v>
      </c>
      <c r="C47" s="40">
        <v>10922</v>
      </c>
      <c r="D47" s="52" t="str">
        <f>[1]sheet1!$B$2411</f>
        <v xml:space="preserve">HIDRANTE DE COLUNA COMPLETO, EM FERRO FUNDIDO, DN = 75 MM, COM REGISTRO, CUNHA DE BORRACHA, CURVA DESSIMETRICA, EXTREMIDADE E TAMPAS (INCLUI KIT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47" s="42" t="s">
        <v>7</v>
      </c>
      <c r="F47" s="42">
        <v>5</v>
      </c>
      <c r="G47" s="43" t="str">
        <f>[1]sheet1!$E$2411</f>
        <v>4.746,26</v>
      </c>
      <c r="H47" s="42">
        <f t="shared" si="6"/>
        <v>23731.3</v>
      </c>
      <c r="I47" s="159">
        <f t="shared" si="5"/>
        <v>29272.560000000001</v>
      </c>
      <c r="J47" s="11"/>
      <c r="K47" s="11"/>
    </row>
    <row r="48" spans="1:11" s="13" customFormat="1" ht="50" customHeight="1" outlineLevel="1" x14ac:dyDescent="0.25">
      <c r="A48" s="160" t="s">
        <v>92</v>
      </c>
      <c r="B48" s="160" t="s">
        <v>25</v>
      </c>
      <c r="C48" s="160">
        <v>10921</v>
      </c>
      <c r="D48" s="180" t="str">
        <f>[1]sheet1!$B$2410</f>
        <v xml:space="preserve">HIDRANTE DE COLUNA COMPLETO, EM FERRO FUNDIDO, DN = 100 MM, COM REGISTRO, CUNHA DE BORRACHA, CURVA DESSIMETRICA, EXTREMIDADE E TAMPAS (INCLUI KIT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48" s="161" t="s">
        <v>7</v>
      </c>
      <c r="F48" s="161">
        <v>5</v>
      </c>
      <c r="G48" s="162" t="str">
        <f>[1]sheet1!$E$2410</f>
        <v>5.240,00</v>
      </c>
      <c r="H48" s="161">
        <f t="shared" si="6"/>
        <v>26200</v>
      </c>
      <c r="I48" s="163">
        <f t="shared" si="5"/>
        <v>32317.7</v>
      </c>
      <c r="J48" s="11"/>
      <c r="K48" s="11"/>
    </row>
    <row r="49" spans="1:11" s="13" customFormat="1" ht="50" customHeight="1" outlineLevel="1" x14ac:dyDescent="0.25">
      <c r="A49" s="40" t="s">
        <v>94</v>
      </c>
      <c r="B49" s="40" t="s">
        <v>25</v>
      </c>
      <c r="C49" s="40">
        <v>10923</v>
      </c>
      <c r="D49" s="52" t="str">
        <f>[1]sheet1!$B$2412</f>
        <v xml:space="preserve">HIDRANTE SUBTERRANEO, EM FERRO FUNDIDO, COM CURVA CURTA E CAIXA, DN 75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49" s="42" t="s">
        <v>7</v>
      </c>
      <c r="F49" s="42">
        <v>5</v>
      </c>
      <c r="G49" s="43" t="str">
        <f>[1]sheet1!$E$2412</f>
        <v>2.805,24</v>
      </c>
      <c r="H49" s="42">
        <f t="shared" si="6"/>
        <v>14026.2</v>
      </c>
      <c r="I49" s="159">
        <f t="shared" si="5"/>
        <v>17301.32</v>
      </c>
      <c r="J49" s="11"/>
      <c r="K49" s="11"/>
    </row>
    <row r="50" spans="1:11" s="13" customFormat="1" ht="50" customHeight="1" outlineLevel="1" thickBot="1" x14ac:dyDescent="0.3">
      <c r="A50" s="160" t="s">
        <v>96</v>
      </c>
      <c r="B50" s="160" t="s">
        <v>25</v>
      </c>
      <c r="C50" s="160">
        <v>95696</v>
      </c>
      <c r="D50" s="180" t="str">
        <f>[2]planilhanull!$H$4476</f>
        <v>SPRINKLER TIPO PENDENTE, 68 °C, UNIÃO POR ROSCA DN 15 (1/2") - FORNECIMENTO E INSTALAÇÃO. AF_10/2020</v>
      </c>
      <c r="E50" s="161" t="s">
        <v>7</v>
      </c>
      <c r="F50" s="161">
        <v>300</v>
      </c>
      <c r="G50" s="162" t="str">
        <f>[2]planilhanull!$K$4476</f>
        <v>36,53</v>
      </c>
      <c r="H50" s="161">
        <f t="shared" si="6"/>
        <v>10959</v>
      </c>
      <c r="I50" s="163">
        <f t="shared" si="5"/>
        <v>13517.93</v>
      </c>
      <c r="J50" s="11"/>
      <c r="K50" s="11"/>
    </row>
    <row r="51" spans="1:11" s="13" customFormat="1" ht="30" customHeight="1" thickBot="1" x14ac:dyDescent="0.3">
      <c r="A51" s="469" t="s">
        <v>404</v>
      </c>
      <c r="B51" s="470"/>
      <c r="C51" s="470"/>
      <c r="D51" s="470"/>
      <c r="E51" s="470"/>
      <c r="F51" s="470"/>
      <c r="G51" s="470"/>
      <c r="H51" s="471"/>
      <c r="I51" s="168">
        <f>SUM(I41:I50)</f>
        <v>279720.63</v>
      </c>
      <c r="J51" s="11"/>
      <c r="K51" s="11"/>
    </row>
    <row r="52" spans="1:11" s="17" customFormat="1" ht="3.5" customHeight="1" x14ac:dyDescent="0.25">
      <c r="A52" s="73"/>
      <c r="B52" s="73"/>
      <c r="C52" s="73"/>
      <c r="D52" s="184"/>
      <c r="E52" s="75"/>
      <c r="F52" s="75"/>
      <c r="G52" s="76"/>
      <c r="H52" s="75"/>
      <c r="I52" s="75"/>
      <c r="J52" s="15"/>
      <c r="K52" s="16"/>
    </row>
    <row r="53" spans="1:11" ht="3" customHeight="1" thickBot="1" x14ac:dyDescent="0.4">
      <c r="A53" s="22"/>
      <c r="B53" s="22"/>
      <c r="C53" s="22"/>
      <c r="D53" s="185"/>
      <c r="E53" s="22"/>
      <c r="F53" s="22"/>
      <c r="G53" s="24"/>
      <c r="H53" s="22"/>
      <c r="I53" s="22"/>
    </row>
    <row r="54" spans="1:11" ht="35.5" customHeight="1" thickBot="1" x14ac:dyDescent="0.4">
      <c r="A54" s="114">
        <v>4</v>
      </c>
      <c r="B54" s="419" t="s">
        <v>282</v>
      </c>
      <c r="C54" s="420"/>
      <c r="D54" s="420"/>
      <c r="E54" s="420"/>
      <c r="F54" s="420"/>
      <c r="G54" s="420"/>
      <c r="H54" s="420"/>
      <c r="I54" s="420"/>
    </row>
    <row r="55" spans="1:11" ht="45.5" customHeight="1" outlineLevel="1" thickBot="1" x14ac:dyDescent="0.4">
      <c r="A55" s="178" t="s">
        <v>166</v>
      </c>
      <c r="B55" s="178" t="s">
        <v>165</v>
      </c>
      <c r="C55" s="178" t="s">
        <v>167</v>
      </c>
      <c r="D55" s="183" t="s">
        <v>287</v>
      </c>
      <c r="E55" s="178" t="s">
        <v>7</v>
      </c>
      <c r="F55" s="178" t="s">
        <v>270</v>
      </c>
      <c r="G55" s="179" t="s">
        <v>271</v>
      </c>
      <c r="H55" s="178" t="s">
        <v>269</v>
      </c>
      <c r="I55" s="178" t="s">
        <v>272</v>
      </c>
    </row>
    <row r="56" spans="1:11" ht="55" customHeight="1" outlineLevel="1" x14ac:dyDescent="0.35">
      <c r="A56" s="40" t="s">
        <v>44</v>
      </c>
      <c r="B56" s="40" t="s">
        <v>25</v>
      </c>
      <c r="C56" s="40">
        <v>101917</v>
      </c>
      <c r="D56" s="52" t="s">
        <v>284</v>
      </c>
      <c r="E56" s="42" t="s">
        <v>7</v>
      </c>
      <c r="F56" s="42">
        <v>2</v>
      </c>
      <c r="G56" s="43">
        <v>123.73</v>
      </c>
      <c r="H56" s="42">
        <f t="shared" ref="H56:H93" si="7">ROUND(F56*G56,2)</f>
        <v>247.46</v>
      </c>
      <c r="I56" s="159">
        <f t="shared" ref="I56:I87" si="8">ROUND(H56*(1+$I$9),2)</f>
        <v>305.24</v>
      </c>
    </row>
    <row r="57" spans="1:11" ht="55" customHeight="1" outlineLevel="1" x14ac:dyDescent="0.35">
      <c r="A57" s="160" t="s">
        <v>112</v>
      </c>
      <c r="B57" s="160" t="s">
        <v>25</v>
      </c>
      <c r="C57" s="160">
        <v>10899</v>
      </c>
      <c r="D57" s="180" t="s">
        <v>285</v>
      </c>
      <c r="E57" s="161" t="s">
        <v>7</v>
      </c>
      <c r="F57" s="161">
        <v>5</v>
      </c>
      <c r="G57" s="162">
        <v>67.900000000000006</v>
      </c>
      <c r="H57" s="161">
        <f t="shared" si="7"/>
        <v>339.5</v>
      </c>
      <c r="I57" s="163">
        <f t="shared" si="8"/>
        <v>418.77</v>
      </c>
    </row>
    <row r="58" spans="1:11" ht="55" customHeight="1" outlineLevel="1" x14ac:dyDescent="0.35">
      <c r="A58" s="40" t="s">
        <v>175</v>
      </c>
      <c r="B58" s="40" t="s">
        <v>25</v>
      </c>
      <c r="C58" s="40">
        <v>10900</v>
      </c>
      <c r="D58" s="52" t="s">
        <v>286</v>
      </c>
      <c r="E58" s="42" t="s">
        <v>7</v>
      </c>
      <c r="F58" s="42">
        <v>5</v>
      </c>
      <c r="G58" s="43">
        <v>53.14</v>
      </c>
      <c r="H58" s="42">
        <f t="shared" si="7"/>
        <v>265.7</v>
      </c>
      <c r="I58" s="159">
        <f t="shared" si="8"/>
        <v>327.74</v>
      </c>
    </row>
    <row r="59" spans="1:11" ht="55" customHeight="1" outlineLevel="1" x14ac:dyDescent="0.35">
      <c r="A59" s="160" t="s">
        <v>176</v>
      </c>
      <c r="B59" s="160" t="s">
        <v>25</v>
      </c>
      <c r="C59" s="160">
        <v>89352</v>
      </c>
      <c r="D59" s="180" t="s">
        <v>288</v>
      </c>
      <c r="E59" s="161" t="s">
        <v>7</v>
      </c>
      <c r="F59" s="161">
        <v>8</v>
      </c>
      <c r="G59" s="162">
        <v>34.46</v>
      </c>
      <c r="H59" s="161">
        <f t="shared" si="7"/>
        <v>275.68</v>
      </c>
      <c r="I59" s="163">
        <f t="shared" si="8"/>
        <v>340.05</v>
      </c>
    </row>
    <row r="60" spans="1:11" ht="55" customHeight="1" outlineLevel="1" x14ac:dyDescent="0.35">
      <c r="A60" s="40" t="s">
        <v>177</v>
      </c>
      <c r="B60" s="40" t="s">
        <v>25</v>
      </c>
      <c r="C60" s="40">
        <v>89353</v>
      </c>
      <c r="D60" s="52" t="s">
        <v>289</v>
      </c>
      <c r="E60" s="42" t="s">
        <v>7</v>
      </c>
      <c r="F60" s="42">
        <v>8</v>
      </c>
      <c r="G60" s="43">
        <v>37.72</v>
      </c>
      <c r="H60" s="42">
        <f t="shared" si="7"/>
        <v>301.76</v>
      </c>
      <c r="I60" s="159">
        <f t="shared" si="8"/>
        <v>372.22</v>
      </c>
    </row>
    <row r="61" spans="1:11" ht="55" customHeight="1" outlineLevel="1" x14ac:dyDescent="0.35">
      <c r="A61" s="160" t="s">
        <v>178</v>
      </c>
      <c r="B61" s="160" t="s">
        <v>25</v>
      </c>
      <c r="C61" s="160">
        <v>94495</v>
      </c>
      <c r="D61" s="180" t="s">
        <v>290</v>
      </c>
      <c r="E61" s="161" t="s">
        <v>7</v>
      </c>
      <c r="F61" s="161">
        <v>8</v>
      </c>
      <c r="G61" s="162">
        <v>58.5</v>
      </c>
      <c r="H61" s="161">
        <f t="shared" si="7"/>
        <v>468</v>
      </c>
      <c r="I61" s="163">
        <f t="shared" si="8"/>
        <v>577.28</v>
      </c>
    </row>
    <row r="62" spans="1:11" ht="55" customHeight="1" outlineLevel="1" x14ac:dyDescent="0.35">
      <c r="A62" s="40" t="s">
        <v>179</v>
      </c>
      <c r="B62" s="40" t="s">
        <v>25</v>
      </c>
      <c r="C62" s="40">
        <v>94496</v>
      </c>
      <c r="D62" s="52" t="s">
        <v>291</v>
      </c>
      <c r="E62" s="42" t="s">
        <v>7</v>
      </c>
      <c r="F62" s="42">
        <v>8</v>
      </c>
      <c r="G62" s="43">
        <v>79.7</v>
      </c>
      <c r="H62" s="42">
        <f t="shared" si="7"/>
        <v>637.6</v>
      </c>
      <c r="I62" s="159">
        <f t="shared" si="8"/>
        <v>786.48</v>
      </c>
    </row>
    <row r="63" spans="1:11" ht="55" customHeight="1" outlineLevel="1" x14ac:dyDescent="0.35">
      <c r="A63" s="160" t="s">
        <v>180</v>
      </c>
      <c r="B63" s="160" t="s">
        <v>25</v>
      </c>
      <c r="C63" s="160">
        <v>94497</v>
      </c>
      <c r="D63" s="180" t="s">
        <v>292</v>
      </c>
      <c r="E63" s="161" t="s">
        <v>7</v>
      </c>
      <c r="F63" s="161">
        <v>8</v>
      </c>
      <c r="G63" s="162">
        <v>100.93</v>
      </c>
      <c r="H63" s="161">
        <f t="shared" si="7"/>
        <v>807.44</v>
      </c>
      <c r="I63" s="163">
        <f t="shared" si="8"/>
        <v>995.98</v>
      </c>
    </row>
    <row r="64" spans="1:11" ht="55" customHeight="1" outlineLevel="1" x14ac:dyDescent="0.35">
      <c r="A64" s="40" t="s">
        <v>181</v>
      </c>
      <c r="B64" s="40" t="s">
        <v>25</v>
      </c>
      <c r="C64" s="40">
        <v>94498</v>
      </c>
      <c r="D64" s="52" t="s">
        <v>293</v>
      </c>
      <c r="E64" s="42" t="s">
        <v>7</v>
      </c>
      <c r="F64" s="42">
        <v>5</v>
      </c>
      <c r="G64" s="43">
        <v>139.49</v>
      </c>
      <c r="H64" s="42">
        <f t="shared" si="7"/>
        <v>697.45</v>
      </c>
      <c r="I64" s="159">
        <f t="shared" si="8"/>
        <v>860.3</v>
      </c>
    </row>
    <row r="65" spans="1:9" ht="55" customHeight="1" outlineLevel="1" x14ac:dyDescent="0.35">
      <c r="A65" s="160" t="s">
        <v>182</v>
      </c>
      <c r="B65" s="160" t="s">
        <v>25</v>
      </c>
      <c r="C65" s="160">
        <v>94499</v>
      </c>
      <c r="D65" s="180" t="s">
        <v>294</v>
      </c>
      <c r="E65" s="161" t="s">
        <v>7</v>
      </c>
      <c r="F65" s="161">
        <v>5</v>
      </c>
      <c r="G65" s="162">
        <v>279.18</v>
      </c>
      <c r="H65" s="161">
        <f t="shared" si="7"/>
        <v>1395.9</v>
      </c>
      <c r="I65" s="163">
        <f t="shared" si="8"/>
        <v>1721.84</v>
      </c>
    </row>
    <row r="66" spans="1:9" ht="55" customHeight="1" outlineLevel="1" x14ac:dyDescent="0.35">
      <c r="A66" s="40" t="s">
        <v>183</v>
      </c>
      <c r="B66" s="40" t="s">
        <v>25</v>
      </c>
      <c r="C66" s="40">
        <v>94500</v>
      </c>
      <c r="D66" s="52" t="s">
        <v>295</v>
      </c>
      <c r="E66" s="42" t="s">
        <v>7</v>
      </c>
      <c r="F66" s="42">
        <v>5</v>
      </c>
      <c r="G66" s="43">
        <v>338.74</v>
      </c>
      <c r="H66" s="42">
        <f t="shared" si="7"/>
        <v>1693.7</v>
      </c>
      <c r="I66" s="159">
        <f t="shared" si="8"/>
        <v>2089.1799999999998</v>
      </c>
    </row>
    <row r="67" spans="1:9" ht="55" customHeight="1" outlineLevel="1" x14ac:dyDescent="0.35">
      <c r="A67" s="160" t="s">
        <v>184</v>
      </c>
      <c r="B67" s="160" t="s">
        <v>25</v>
      </c>
      <c r="C67" s="160">
        <v>94501</v>
      </c>
      <c r="D67" s="180" t="s">
        <v>296</v>
      </c>
      <c r="E67" s="161" t="s">
        <v>7</v>
      </c>
      <c r="F67" s="161">
        <v>5</v>
      </c>
      <c r="G67" s="162">
        <v>678.14</v>
      </c>
      <c r="H67" s="161">
        <f t="shared" si="7"/>
        <v>3390.7</v>
      </c>
      <c r="I67" s="163">
        <f t="shared" si="8"/>
        <v>4182.43</v>
      </c>
    </row>
    <row r="68" spans="1:9" ht="55" customHeight="1" outlineLevel="1" x14ac:dyDescent="0.35">
      <c r="A68" s="40" t="s">
        <v>185</v>
      </c>
      <c r="B68" s="40" t="s">
        <v>25</v>
      </c>
      <c r="C68" s="40" t="str">
        <f>[2]planilhanull!$G$5012</f>
        <v>95248</v>
      </c>
      <c r="D68" s="52" t="str">
        <f>[2]planilhanull!$H$5012</f>
        <v>VÁLVULA DE ESFERA BRUTA, BRONZE, ROSCÁVEL, 1/2" - FORNECIMENTO E INSTALAÇÃO. AF_08/2021</v>
      </c>
      <c r="E68" s="42" t="s">
        <v>7</v>
      </c>
      <c r="F68" s="42">
        <v>5</v>
      </c>
      <c r="G68" s="43" t="str">
        <f>[2]planilhanull!$K$5012</f>
        <v>50,19</v>
      </c>
      <c r="H68" s="42">
        <f t="shared" si="7"/>
        <v>250.95</v>
      </c>
      <c r="I68" s="159">
        <f t="shared" si="8"/>
        <v>309.55</v>
      </c>
    </row>
    <row r="69" spans="1:9" ht="55" customHeight="1" outlineLevel="1" x14ac:dyDescent="0.35">
      <c r="A69" s="160" t="s">
        <v>186</v>
      </c>
      <c r="B69" s="160" t="s">
        <v>25</v>
      </c>
      <c r="C69" s="160" t="str">
        <f>[2]planilhanull!$G$5013</f>
        <v>95249</v>
      </c>
      <c r="D69" s="180" t="str">
        <f>[2]planilhanull!$H$5013</f>
        <v>VÁLVULA DE ESFERA BRUTA, BRONZE, ROSCÁVEL, 3/4'' - FORNECIMENTO E INSTALAÇÃO. AF_08/2021</v>
      </c>
      <c r="E69" s="161" t="s">
        <v>7</v>
      </c>
      <c r="F69" s="161">
        <v>5</v>
      </c>
      <c r="G69" s="162" t="str">
        <f>[2]planilhanull!$K$5013</f>
        <v>59,01</v>
      </c>
      <c r="H69" s="161">
        <f t="shared" si="7"/>
        <v>295.05</v>
      </c>
      <c r="I69" s="163">
        <f t="shared" si="8"/>
        <v>363.94</v>
      </c>
    </row>
    <row r="70" spans="1:9" ht="55" customHeight="1" outlineLevel="1" x14ac:dyDescent="0.35">
      <c r="A70" s="40" t="s">
        <v>187</v>
      </c>
      <c r="B70" s="40" t="s">
        <v>25</v>
      </c>
      <c r="C70" s="40" t="str">
        <f>[2]planilhanull!$G$5014</f>
        <v>95250</v>
      </c>
      <c r="D70" s="52" t="str">
        <f>[2]planilhanull!$H$5014</f>
        <v>VÁLVULA DE ESFERA BRUTA, BRONZE, ROSCÁVEL, 1'' - FORNECIMENTO E INSTALAÇÃO. AF_08/2021</v>
      </c>
      <c r="E70" s="42" t="s">
        <v>7</v>
      </c>
      <c r="F70" s="42">
        <v>5</v>
      </c>
      <c r="G70" s="43" t="str">
        <f>[2]planilhanull!$K$5014</f>
        <v>79,66</v>
      </c>
      <c r="H70" s="42">
        <f t="shared" si="7"/>
        <v>398.3</v>
      </c>
      <c r="I70" s="159">
        <f t="shared" si="8"/>
        <v>491.3</v>
      </c>
    </row>
    <row r="71" spans="1:9" ht="55" customHeight="1" outlineLevel="1" x14ac:dyDescent="0.35">
      <c r="A71" s="160" t="s">
        <v>188</v>
      </c>
      <c r="B71" s="160" t="s">
        <v>25</v>
      </c>
      <c r="C71" s="160" t="str">
        <f>[2]planilhanull!$G$5015</f>
        <v>95251</v>
      </c>
      <c r="D71" s="180" t="str">
        <f>[2]planilhanull!$H$5015</f>
        <v>VÁLVULA DE ESFERA BRUTA, BRONZE, ROSCÁVEL, 1 1/4'' - FORNECIMENTO E INSTALAÇÃO. AF_08/2021</v>
      </c>
      <c r="E71" s="161" t="s">
        <v>7</v>
      </c>
      <c r="F71" s="161">
        <v>5</v>
      </c>
      <c r="G71" s="162" t="str">
        <f>[2]planilhanull!$K$5015</f>
        <v>117,92</v>
      </c>
      <c r="H71" s="161">
        <f t="shared" si="7"/>
        <v>589.6</v>
      </c>
      <c r="I71" s="163">
        <f t="shared" si="8"/>
        <v>727.27</v>
      </c>
    </row>
    <row r="72" spans="1:9" ht="55" customHeight="1" outlineLevel="1" x14ac:dyDescent="0.35">
      <c r="A72" s="40" t="s">
        <v>189</v>
      </c>
      <c r="B72" s="40" t="s">
        <v>25</v>
      </c>
      <c r="C72" s="40" t="str">
        <f>[2]planilhanull!$G$5016</f>
        <v>95252</v>
      </c>
      <c r="D72" s="52" t="str">
        <f>[2]planilhanull!$H$5016</f>
        <v>VÁLVULA DE ESFERA BRUTA, BRONZE, ROSCÁVEL, 1 1/2'' - FORNECIMENTO E INSTALAÇÃO. AF_08/2021</v>
      </c>
      <c r="E72" s="42" t="s">
        <v>7</v>
      </c>
      <c r="F72" s="42">
        <v>5</v>
      </c>
      <c r="G72" s="43" t="str">
        <f>[2]planilhanull!$K$5016</f>
        <v>142,87</v>
      </c>
      <c r="H72" s="42">
        <f t="shared" si="7"/>
        <v>714.35</v>
      </c>
      <c r="I72" s="159">
        <f t="shared" si="8"/>
        <v>881.15</v>
      </c>
    </row>
    <row r="73" spans="1:9" ht="55" customHeight="1" outlineLevel="1" x14ac:dyDescent="0.35">
      <c r="A73" s="160" t="s">
        <v>190</v>
      </c>
      <c r="B73" s="160" t="s">
        <v>25</v>
      </c>
      <c r="C73" s="160" t="str">
        <f>[2]planilhanull!$G$5017</f>
        <v>95253</v>
      </c>
      <c r="D73" s="180" t="str">
        <f>[2]planilhanull!$H$5017</f>
        <v>VÁLVULA DE ESFERA BRUTA, BRONZE, ROSCÁVEL, 2'' - FORNECIMENTO E INSTALAÇÃO. AF_08/2021</v>
      </c>
      <c r="E73" s="161" t="s">
        <v>7</v>
      </c>
      <c r="F73" s="161">
        <v>5</v>
      </c>
      <c r="G73" s="162" t="str">
        <f>[2]planilhanull!$K$5017</f>
        <v>217,64</v>
      </c>
      <c r="H73" s="161">
        <f t="shared" si="7"/>
        <v>1088.2</v>
      </c>
      <c r="I73" s="163">
        <f t="shared" si="8"/>
        <v>1342.29</v>
      </c>
    </row>
    <row r="74" spans="1:9" ht="55" customHeight="1" outlineLevel="1" x14ac:dyDescent="0.35">
      <c r="A74" s="40" t="s">
        <v>191</v>
      </c>
      <c r="B74" s="40" t="s">
        <v>25</v>
      </c>
      <c r="C74" s="40" t="str">
        <f>[2]planilhanull!$G$5018</f>
        <v>99619</v>
      </c>
      <c r="D74" s="52" t="str">
        <f>[2]planilhanull!$H$5018</f>
        <v>VÁLVULA DE RETENÇÃO HORIZONTAL, DE BRONZE, ROSCÁVEL, 3/4" - FORNECIMENTO E INSTALAÇÃO. AF_08/2021</v>
      </c>
      <c r="E74" s="42" t="s">
        <v>7</v>
      </c>
      <c r="F74" s="42">
        <v>5</v>
      </c>
      <c r="G74" s="43" t="str">
        <f>[2]planilhanull!$K$5018</f>
        <v>98,32</v>
      </c>
      <c r="H74" s="42">
        <f t="shared" si="7"/>
        <v>491.6</v>
      </c>
      <c r="I74" s="159">
        <f t="shared" si="8"/>
        <v>606.39</v>
      </c>
    </row>
    <row r="75" spans="1:9" ht="55" customHeight="1" outlineLevel="1" x14ac:dyDescent="0.35">
      <c r="A75" s="160" t="s">
        <v>192</v>
      </c>
      <c r="B75" s="160" t="s">
        <v>25</v>
      </c>
      <c r="C75" s="160" t="str">
        <f>[2]planilhanull!$G$5019</f>
        <v>99620</v>
      </c>
      <c r="D75" s="180" t="str">
        <f>[2]planilhanull!$H$5019</f>
        <v>VÁLVULA DE RETENÇÃO HORIZONTAL, DE BRONZE, ROSCÁVEL, 1" - FORNECIMENTO E INSTALAÇÃO. AF_08/2021</v>
      </c>
      <c r="E75" s="161" t="s">
        <v>7</v>
      </c>
      <c r="F75" s="161">
        <v>5</v>
      </c>
      <c r="G75" s="162" t="str">
        <f>[2]planilhanull!$K$5019</f>
        <v>133,58</v>
      </c>
      <c r="H75" s="161">
        <f t="shared" si="7"/>
        <v>667.9</v>
      </c>
      <c r="I75" s="163">
        <f t="shared" si="8"/>
        <v>823.85</v>
      </c>
    </row>
    <row r="76" spans="1:9" ht="55" customHeight="1" outlineLevel="1" x14ac:dyDescent="0.35">
      <c r="A76" s="40" t="s">
        <v>193</v>
      </c>
      <c r="B76" s="40" t="s">
        <v>25</v>
      </c>
      <c r="C76" s="40" t="str">
        <f>[2]planilhanull!$G$5020</f>
        <v>99621</v>
      </c>
      <c r="D76" s="52" t="str">
        <f>[2]planilhanull!$H$5020</f>
        <v>VÁLVULA DE RETENÇÃO HORIZONTAL, DE BRONZE, ROSCÁVEL, 1 1/4" - FORNECIMENTO E INSTALAÇÃO. AF_08/2021</v>
      </c>
      <c r="E76" s="42" t="s">
        <v>7</v>
      </c>
      <c r="F76" s="42">
        <v>5</v>
      </c>
      <c r="G76" s="43" t="str">
        <f>[2]planilhanull!$K$5020</f>
        <v>199,13</v>
      </c>
      <c r="H76" s="42">
        <f t="shared" si="7"/>
        <v>995.65</v>
      </c>
      <c r="I76" s="159">
        <f t="shared" si="8"/>
        <v>1228.1300000000001</v>
      </c>
    </row>
    <row r="77" spans="1:9" ht="55" customHeight="1" outlineLevel="1" x14ac:dyDescent="0.35">
      <c r="A77" s="160" t="s">
        <v>194</v>
      </c>
      <c r="B77" s="160" t="s">
        <v>25</v>
      </c>
      <c r="C77" s="160" t="str">
        <f>[2]planilhanull!$G$5021</f>
        <v>99622</v>
      </c>
      <c r="D77" s="180" t="str">
        <f>[2]planilhanull!$H$5021</f>
        <v>VÁLVULA DE RETENÇÃO HORIZONTAL, DE BRONZE, ROSCÁVEL, 1 1/2"  - FORNECIMENTO E INSTALAÇÃO. AF_08/2021</v>
      </c>
      <c r="E77" s="161" t="s">
        <v>7</v>
      </c>
      <c r="F77" s="161">
        <v>5</v>
      </c>
      <c r="G77" s="162" t="str">
        <f>[2]planilhanull!$K$5021</f>
        <v>224,03</v>
      </c>
      <c r="H77" s="161">
        <f t="shared" si="7"/>
        <v>1120.1500000000001</v>
      </c>
      <c r="I77" s="163">
        <f t="shared" si="8"/>
        <v>1381.71</v>
      </c>
    </row>
    <row r="78" spans="1:9" ht="55" customHeight="1" outlineLevel="1" x14ac:dyDescent="0.35">
      <c r="A78" s="40" t="s">
        <v>195</v>
      </c>
      <c r="B78" s="40" t="s">
        <v>25</v>
      </c>
      <c r="C78" s="40" t="str">
        <f>[2]planilhanull!$G$5022</f>
        <v>99623</v>
      </c>
      <c r="D78" s="52" t="str">
        <f>[2]planilhanull!$H$5022</f>
        <v>VÁLVULA DE RETENÇÃO HORIZONTAL, DE BRONZE, ROSCÁVEL, 2"  - FORNECIMENTO E INSTALAÇÃO. AF_08/2021</v>
      </c>
      <c r="E78" s="42" t="s">
        <v>7</v>
      </c>
      <c r="F78" s="42">
        <v>5</v>
      </c>
      <c r="G78" s="43" t="str">
        <f>[2]planilhanull!$K$5022</f>
        <v>312,69</v>
      </c>
      <c r="H78" s="42">
        <f t="shared" si="7"/>
        <v>1563.45</v>
      </c>
      <c r="I78" s="159">
        <f t="shared" si="8"/>
        <v>1928.52</v>
      </c>
    </row>
    <row r="79" spans="1:9" ht="55" customHeight="1" outlineLevel="1" x14ac:dyDescent="0.35">
      <c r="A79" s="160" t="s">
        <v>196</v>
      </c>
      <c r="B79" s="160" t="s">
        <v>25</v>
      </c>
      <c r="C79" s="160" t="str">
        <f>[2]planilhanull!$G$5023</f>
        <v>99624</v>
      </c>
      <c r="D79" s="180" t="str">
        <f>[2]planilhanull!$H$5023</f>
        <v>VÁLVULA DE RETENÇÃO HORIZONTAL, DE BRONZE, ROSCÁVEL, 2 1/2" - FORNECIMENTO E INSTALAÇÃO. AF_08/2021</v>
      </c>
      <c r="E79" s="161" t="s">
        <v>7</v>
      </c>
      <c r="F79" s="161">
        <v>5</v>
      </c>
      <c r="G79" s="162" t="str">
        <f>[2]planilhanull!$K$5023</f>
        <v>445,88</v>
      </c>
      <c r="H79" s="161">
        <f t="shared" si="7"/>
        <v>2229.4</v>
      </c>
      <c r="I79" s="163">
        <f t="shared" si="8"/>
        <v>2749.96</v>
      </c>
    </row>
    <row r="80" spans="1:9" ht="55" customHeight="1" outlineLevel="1" x14ac:dyDescent="0.35">
      <c r="A80" s="40" t="s">
        <v>197</v>
      </c>
      <c r="B80" s="40" t="s">
        <v>25</v>
      </c>
      <c r="C80" s="40" t="str">
        <f>[2]planilhanull!$G$5024</f>
        <v>99625</v>
      </c>
      <c r="D80" s="52" t="str">
        <f>[2]planilhanull!$H$5024</f>
        <v>VÁLVULA DE RETENÇÃO HORIZONTAL, DE BRONZE, ROSCÁVEL, 3" - FORNECIMENTO E INSTALAÇÃO. AF_08/2021</v>
      </c>
      <c r="E80" s="42" t="s">
        <v>7</v>
      </c>
      <c r="F80" s="42">
        <v>5</v>
      </c>
      <c r="G80" s="43" t="str">
        <f>[2]planilhanull!$K$5024</f>
        <v>613,47</v>
      </c>
      <c r="H80" s="42">
        <f t="shared" si="7"/>
        <v>3067.35</v>
      </c>
      <c r="I80" s="159">
        <f t="shared" si="8"/>
        <v>3783.58</v>
      </c>
    </row>
    <row r="81" spans="1:9" ht="55" customHeight="1" outlineLevel="1" x14ac:dyDescent="0.35">
      <c r="A81" s="160" t="s">
        <v>198</v>
      </c>
      <c r="B81" s="160" t="s">
        <v>25</v>
      </c>
      <c r="C81" s="160" t="str">
        <f>[2]planilhanull!$G$5025</f>
        <v>99626</v>
      </c>
      <c r="D81" s="180" t="str">
        <f>[2]planilhanull!$H$5025</f>
        <v>VÁLVULA DE RETENÇÃO HORIZONTAL, DE BRONZE, ROSCÁVEL, 4" - FORNECIMENTO E INSTALAÇÃO. AF_08/2021</v>
      </c>
      <c r="E81" s="161" t="s">
        <v>7</v>
      </c>
      <c r="F81" s="161">
        <v>5</v>
      </c>
      <c r="G81" s="162" t="str">
        <f>[2]planilhanull!$K$5025</f>
        <v>945,03</v>
      </c>
      <c r="H81" s="161">
        <f t="shared" si="7"/>
        <v>4725.1499999999996</v>
      </c>
      <c r="I81" s="163">
        <f t="shared" si="8"/>
        <v>5828.47</v>
      </c>
    </row>
    <row r="82" spans="1:9" ht="55" customHeight="1" outlineLevel="1" x14ac:dyDescent="0.35">
      <c r="A82" s="40" t="s">
        <v>199</v>
      </c>
      <c r="B82" s="40" t="s">
        <v>25</v>
      </c>
      <c r="C82" s="40" t="str">
        <f>[2]planilhanull!$G$5026</f>
        <v>99627</v>
      </c>
      <c r="D82" s="52" t="str">
        <f>[2]planilhanull!$H$5026</f>
        <v>VÁLVULA DE RETENÇÃO VERTICAL, DE BRONZE, ROSCÁVEL, 1/2" - FORNECIMENTO E INSTALAÇÃO. AF_08/2021</v>
      </c>
      <c r="E82" s="42" t="s">
        <v>7</v>
      </c>
      <c r="F82" s="42">
        <v>5</v>
      </c>
      <c r="G82" s="43" t="str">
        <f>[2]planilhanull!$K$5026</f>
        <v>59,32</v>
      </c>
      <c r="H82" s="42">
        <f t="shared" si="7"/>
        <v>296.60000000000002</v>
      </c>
      <c r="I82" s="159">
        <f t="shared" si="8"/>
        <v>365.86</v>
      </c>
    </row>
    <row r="83" spans="1:9" ht="55" customHeight="1" outlineLevel="1" x14ac:dyDescent="0.35">
      <c r="A83" s="160" t="s">
        <v>200</v>
      </c>
      <c r="B83" s="160" t="s">
        <v>25</v>
      </c>
      <c r="C83" s="160" t="str">
        <f>[2]planilhanull!$G$5027</f>
        <v>99628</v>
      </c>
      <c r="D83" s="180" t="str">
        <f>[2]planilhanull!$H$5027</f>
        <v>VÁLVULA DE RETENÇÃO VERTICAL, DE BRONZE, ROSCÁVEL, 3/4" - FORNECIMENTO E INSTALAÇÃO. AF_08/2021</v>
      </c>
      <c r="E83" s="161" t="s">
        <v>7</v>
      </c>
      <c r="F83" s="161">
        <v>5</v>
      </c>
      <c r="G83" s="162" t="str">
        <f>[2]planilhanull!$K$5027</f>
        <v>64,63</v>
      </c>
      <c r="H83" s="161">
        <f t="shared" si="7"/>
        <v>323.14999999999998</v>
      </c>
      <c r="I83" s="163">
        <f t="shared" si="8"/>
        <v>398.61</v>
      </c>
    </row>
    <row r="84" spans="1:9" ht="55" customHeight="1" outlineLevel="1" x14ac:dyDescent="0.35">
      <c r="A84" s="40" t="s">
        <v>201</v>
      </c>
      <c r="B84" s="40" t="s">
        <v>25</v>
      </c>
      <c r="C84" s="40">
        <v>99629</v>
      </c>
      <c r="D84" s="52" t="str">
        <f>[2]planilhanull!$H$5028</f>
        <v>VÁLVULA DE RETENÇÃO VERTICAL, DE BRONZE, ROSCÁVEL, 1" - FORNECIMENTO E INSTALAÇÃO. AF_08/2021</v>
      </c>
      <c r="E84" s="42" t="s">
        <v>7</v>
      </c>
      <c r="F84" s="42">
        <v>5</v>
      </c>
      <c r="G84" s="43" t="str">
        <f>[2]planilhanull!$K$5028</f>
        <v>71,75</v>
      </c>
      <c r="H84" s="42">
        <f t="shared" si="7"/>
        <v>358.75</v>
      </c>
      <c r="I84" s="159">
        <f t="shared" si="8"/>
        <v>442.52</v>
      </c>
    </row>
    <row r="85" spans="1:9" ht="55" customHeight="1" outlineLevel="1" x14ac:dyDescent="0.35">
      <c r="A85" s="160" t="s">
        <v>202</v>
      </c>
      <c r="B85" s="160" t="s">
        <v>25</v>
      </c>
      <c r="C85" s="160">
        <v>99630</v>
      </c>
      <c r="D85" s="180" t="str">
        <f>[2]planilhanull!$H$5029</f>
        <v>VÁLVULA DE RETENÇÃO VERTICAL, DE BRONZE, ROSCÁVEL, 1 1/4" - FORNECIMENTO E INSTALAÇÃO. AF_08/2021</v>
      </c>
      <c r="E85" s="161" t="s">
        <v>7</v>
      </c>
      <c r="F85" s="161">
        <v>5</v>
      </c>
      <c r="G85" s="162" t="str">
        <f>[2]planilhanull!$K$5029</f>
        <v>106,79</v>
      </c>
      <c r="H85" s="161">
        <f t="shared" si="7"/>
        <v>533.95000000000005</v>
      </c>
      <c r="I85" s="163">
        <f t="shared" si="8"/>
        <v>658.63</v>
      </c>
    </row>
    <row r="86" spans="1:9" ht="55" customHeight="1" outlineLevel="1" x14ac:dyDescent="0.35">
      <c r="A86" s="40" t="s">
        <v>203</v>
      </c>
      <c r="B86" s="40" t="s">
        <v>25</v>
      </c>
      <c r="C86" s="40">
        <v>99631</v>
      </c>
      <c r="D86" s="52" t="str">
        <f>[2]planilhanull!$H$5030</f>
        <v>VÁLVULA DE RETENÇÃO VERTICAL, DE BRONZE, ROSCÁVEL, 1 1/2" - FORNECIMENTO E INSTALAÇÃO. AF_08/2021</v>
      </c>
      <c r="E86" s="42" t="s">
        <v>7</v>
      </c>
      <c r="F86" s="42">
        <v>5</v>
      </c>
      <c r="G86" s="43" t="str">
        <f>[2]planilhanull!$K$5030</f>
        <v>124,23</v>
      </c>
      <c r="H86" s="42">
        <f t="shared" si="7"/>
        <v>621.15</v>
      </c>
      <c r="I86" s="159">
        <f t="shared" si="8"/>
        <v>766.19</v>
      </c>
    </row>
    <row r="87" spans="1:9" ht="55" customHeight="1" outlineLevel="1" x14ac:dyDescent="0.35">
      <c r="A87" s="160" t="s">
        <v>204</v>
      </c>
      <c r="B87" s="160" t="s">
        <v>25</v>
      </c>
      <c r="C87" s="160">
        <v>99632</v>
      </c>
      <c r="D87" s="180" t="str">
        <f>[2]planilhanull!$H$5031</f>
        <v>VÁLVULA DE RETENÇÃO VERTICAL, DE BRONZE, ROSCÁVEL, 2" - FORNECIMENTO E INSTALAÇÃO. AF_08/2021</v>
      </c>
      <c r="E87" s="161" t="s">
        <v>7</v>
      </c>
      <c r="F87" s="161">
        <v>5</v>
      </c>
      <c r="G87" s="162" t="str">
        <f>[2]planilhanull!$K$5031</f>
        <v>179,24</v>
      </c>
      <c r="H87" s="161">
        <f t="shared" si="7"/>
        <v>896.2</v>
      </c>
      <c r="I87" s="163">
        <f t="shared" si="8"/>
        <v>1105.46</v>
      </c>
    </row>
    <row r="88" spans="1:9" ht="55" customHeight="1" outlineLevel="1" x14ac:dyDescent="0.35">
      <c r="A88" s="40" t="s">
        <v>205</v>
      </c>
      <c r="B88" s="40" t="s">
        <v>25</v>
      </c>
      <c r="C88" s="40">
        <v>99633</v>
      </c>
      <c r="D88" s="52" t="str">
        <f>[2]planilhanull!$H$5032</f>
        <v>VÁLVULA DE RETENÇÃO VERTICAL, DE BRONZE, ROSCÁVEL, 3" - FORNECIMENTO E INSTALAÇÃO. AF_08/2021</v>
      </c>
      <c r="E88" s="42" t="s">
        <v>7</v>
      </c>
      <c r="F88" s="42">
        <v>5</v>
      </c>
      <c r="G88" s="43" t="str">
        <f>[2]planilhanull!$K$5032</f>
        <v>385,15</v>
      </c>
      <c r="H88" s="42">
        <f t="shared" si="7"/>
        <v>1925.75</v>
      </c>
      <c r="I88" s="159">
        <f t="shared" ref="I88:I119" si="9">ROUND(H88*(1+$I$9),2)</f>
        <v>2375.41</v>
      </c>
    </row>
    <row r="89" spans="1:9" ht="55" customHeight="1" outlineLevel="1" x14ac:dyDescent="0.35">
      <c r="A89" s="160" t="s">
        <v>206</v>
      </c>
      <c r="B89" s="160" t="s">
        <v>25</v>
      </c>
      <c r="C89" s="160">
        <v>99634</v>
      </c>
      <c r="D89" s="180" t="str">
        <f>[2]planilhanull!$H$5033</f>
        <v>VÁLVULA DE RETENÇÃO VERTICAL, DE BRONZE, ROSCÁVEL, 4" - FORNECIMENTO E INSTALAÇÃO. AF_08/2021</v>
      </c>
      <c r="E89" s="161" t="s">
        <v>7</v>
      </c>
      <c r="F89" s="161">
        <v>5</v>
      </c>
      <c r="G89" s="162" t="str">
        <f>[2]planilhanull!$K$5033</f>
        <v>657,75</v>
      </c>
      <c r="H89" s="161">
        <f t="shared" si="7"/>
        <v>3288.75</v>
      </c>
      <c r="I89" s="163">
        <f t="shared" si="9"/>
        <v>4056.67</v>
      </c>
    </row>
    <row r="90" spans="1:9" ht="55" customHeight="1" outlineLevel="1" x14ac:dyDescent="0.35">
      <c r="A90" s="40" t="s">
        <v>207</v>
      </c>
      <c r="B90" s="40" t="s">
        <v>25</v>
      </c>
      <c r="C90" s="40">
        <v>103019</v>
      </c>
      <c r="D90" s="52" t="str">
        <f>[2]planilhanull!$H$5046</f>
        <v>REGISTRO OU VÁLVULA GLOBO ANGULAR EM LATÃO, PARA HIDRANTES EM INSTALAÇÃO PREDIAL DE INCÊNDIO, 45 GRAUS, 2 1/2" - FORNECIMENTO E INSTALAÇÃO. AF_08/2021</v>
      </c>
      <c r="E90" s="42" t="s">
        <v>7</v>
      </c>
      <c r="F90" s="42">
        <v>8</v>
      </c>
      <c r="G90" s="43" t="str">
        <f>[2]planilhanull!$K$5046</f>
        <v>173,31</v>
      </c>
      <c r="H90" s="42">
        <f t="shared" si="7"/>
        <v>1386.48</v>
      </c>
      <c r="I90" s="159">
        <f t="shared" si="9"/>
        <v>1710.22</v>
      </c>
    </row>
    <row r="91" spans="1:9" ht="55" customHeight="1" outlineLevel="1" x14ac:dyDescent="0.35">
      <c r="A91" s="160" t="s">
        <v>208</v>
      </c>
      <c r="B91" s="160" t="s">
        <v>25</v>
      </c>
      <c r="C91" s="160">
        <v>92359</v>
      </c>
      <c r="D91" s="180" t="str">
        <f>[2]planilhanull!$H$3495</f>
        <v>TUBO DE AÇO PRETO SEM COSTURA, CONEXÃO SOLDADA, DN 25 (1"), INSTALADO EM REDE DE ALIMENTAÇÃO PARA HIDRANTE - FORNECIMENTO E INSTALAÇÃO. AF_10/2020</v>
      </c>
      <c r="E91" s="161" t="s">
        <v>297</v>
      </c>
      <c r="F91" s="161">
        <v>2</v>
      </c>
      <c r="G91" s="162" t="str">
        <f>[2]planilhanull!$K$3495</f>
        <v>57,64</v>
      </c>
      <c r="H91" s="161">
        <f t="shared" si="7"/>
        <v>115.28</v>
      </c>
      <c r="I91" s="163">
        <f t="shared" si="9"/>
        <v>142.19999999999999</v>
      </c>
    </row>
    <row r="92" spans="1:9" ht="55" customHeight="1" outlineLevel="1" x14ac:dyDescent="0.35">
      <c r="A92" s="40" t="s">
        <v>209</v>
      </c>
      <c r="B92" s="40" t="s">
        <v>25</v>
      </c>
      <c r="C92" s="40">
        <v>92360</v>
      </c>
      <c r="D92" s="52" t="str">
        <f>[2]planilhanull!$H$3496</f>
        <v>TUBO DE AÇO PRETO SEM COSTURA, CONEXÃO SOLDADA, DN 32 (1 1/4"), INSTALADO EM REDE DE ALIMENTAÇÃO PARA HIDRANTE - FORNECIMENTO E INSTALAÇÃO. AF_10/2020</v>
      </c>
      <c r="E92" s="42" t="s">
        <v>297</v>
      </c>
      <c r="F92" s="42">
        <v>2</v>
      </c>
      <c r="G92" s="43" t="str">
        <f>[2]planilhanull!$K$3496</f>
        <v>77,07</v>
      </c>
      <c r="H92" s="42">
        <f t="shared" si="7"/>
        <v>154.13999999999999</v>
      </c>
      <c r="I92" s="159">
        <f t="shared" si="9"/>
        <v>190.13</v>
      </c>
    </row>
    <row r="93" spans="1:9" ht="55" customHeight="1" outlineLevel="1" x14ac:dyDescent="0.35">
      <c r="A93" s="160" t="s">
        <v>210</v>
      </c>
      <c r="B93" s="160" t="s">
        <v>25</v>
      </c>
      <c r="C93" s="164">
        <v>92361</v>
      </c>
      <c r="D93" s="182" t="str">
        <f>[2]planilhanull!$H$3497</f>
        <v>TUBO DE AÇO PRETO SEM COSTURA, CONEXÃO SOLDADA, DN 50 (2"), INSTALADO EM REDE DE ALIMENTAÇÃO PARA HIDRANTE - FORNECIMENTO E INSTALAÇÃO. AF_10/2020</v>
      </c>
      <c r="E93" s="165" t="s">
        <v>297</v>
      </c>
      <c r="F93" s="165">
        <v>2</v>
      </c>
      <c r="G93" s="166" t="str">
        <f>[2]planilhanull!$K$3497</f>
        <v>103,97</v>
      </c>
      <c r="H93" s="165">
        <f t="shared" si="7"/>
        <v>207.94</v>
      </c>
      <c r="I93" s="167">
        <f t="shared" si="9"/>
        <v>256.49</v>
      </c>
    </row>
    <row r="94" spans="1:9" ht="55" customHeight="1" outlineLevel="1" x14ac:dyDescent="0.35">
      <c r="A94" s="40" t="s">
        <v>298</v>
      </c>
      <c r="B94" s="40" t="s">
        <v>25</v>
      </c>
      <c r="C94" s="40">
        <v>92362</v>
      </c>
      <c r="D94" s="52" t="str">
        <f>[2]planilhanull!$H$3498</f>
        <v>TUBO DE AÇO PRETO SEM COSTURA, CONEXÃO SOLDADA, DN 65 (2 1/2"), INSTALADO EM REDE DE ALIMENTAÇÃO PARA HIDRANTE - FORNECIMENTO E INSTALAÇÃO. AF_10/2020</v>
      </c>
      <c r="E94" s="42" t="s">
        <v>297</v>
      </c>
      <c r="F94" s="42">
        <v>2</v>
      </c>
      <c r="G94" s="43" t="str">
        <f>[2]planilhanull!$K$3498</f>
        <v>166,45</v>
      </c>
      <c r="H94" s="42">
        <f t="shared" ref="H94:H106" si="10">ROUND(F94*G94,2)</f>
        <v>332.9</v>
      </c>
      <c r="I94" s="159">
        <f t="shared" si="9"/>
        <v>410.63</v>
      </c>
    </row>
    <row r="95" spans="1:9" ht="55" customHeight="1" outlineLevel="1" x14ac:dyDescent="0.35">
      <c r="A95" s="160" t="s">
        <v>299</v>
      </c>
      <c r="B95" s="160" t="s">
        <v>25</v>
      </c>
      <c r="C95" s="164">
        <v>92364</v>
      </c>
      <c r="D95" s="182" t="str">
        <f>[2]planilhanull!$H$3499</f>
        <v>TUBO DE AÇO GALVANIZADO COM COSTURA, CLASSE MÉDIA, DN 32 (1 1/4"), CONEXÃO ROSQUEADA, INSTALADO EM REDE DE ALIMENTAÇÃO PARA HIDRANTE - FORNECIMENTO E INSTALAÇÃO. AF_10/2020</v>
      </c>
      <c r="E95" s="165" t="s">
        <v>297</v>
      </c>
      <c r="F95" s="165">
        <v>2</v>
      </c>
      <c r="G95" s="166" t="str">
        <f>[2]planilhanull!$K$3499</f>
        <v>67,50</v>
      </c>
      <c r="H95" s="165">
        <f t="shared" si="10"/>
        <v>135</v>
      </c>
      <c r="I95" s="167">
        <f t="shared" si="9"/>
        <v>166.52</v>
      </c>
    </row>
    <row r="96" spans="1:9" ht="55" customHeight="1" outlineLevel="1" x14ac:dyDescent="0.35">
      <c r="A96" s="40" t="s">
        <v>300</v>
      </c>
      <c r="B96" s="40" t="s">
        <v>25</v>
      </c>
      <c r="C96" s="40">
        <v>92365</v>
      </c>
      <c r="D96" s="52" t="str">
        <f>[2]planilhanull!$H$3500</f>
        <v>TUBO DE AÇO GALVANIZADO COM COSTURA, CLASSE MÉDIA, DN 40 (1 1/2"), CONEXÃO ROSQUEADA, INSTALADO EM REDE DE ALIMENTAÇÃO PARA HIDRANTE - FORNECIMENTO E INSTALAÇÃO. AF_10/2020</v>
      </c>
      <c r="E96" s="42" t="s">
        <v>297</v>
      </c>
      <c r="F96" s="42">
        <v>2</v>
      </c>
      <c r="G96" s="43" t="str">
        <f>[2]planilhanull!$K$3500</f>
        <v>77,91</v>
      </c>
      <c r="H96" s="42">
        <f t="shared" si="10"/>
        <v>155.82</v>
      </c>
      <c r="I96" s="159">
        <f t="shared" si="9"/>
        <v>192.2</v>
      </c>
    </row>
    <row r="97" spans="1:9" ht="55" customHeight="1" outlineLevel="1" x14ac:dyDescent="0.35">
      <c r="A97" s="160" t="s">
        <v>301</v>
      </c>
      <c r="B97" s="160" t="s">
        <v>25</v>
      </c>
      <c r="C97" s="164">
        <v>92366</v>
      </c>
      <c r="D97" s="182" t="str">
        <f>[2]planilhanull!$H$3501</f>
        <v>TUBO DE AÇO GALVANIZADO COM COSTURA, CLASSE MÉDIA, DN 50 (2"), CONEXÃO ROSQUEADA, INSTALADO EM REDE DE ALIMENTAÇÃO PARA HIDRANTE - FORNECIMENTO E INSTALAÇÃO. AF_10/2020</v>
      </c>
      <c r="E97" s="165" t="s">
        <v>297</v>
      </c>
      <c r="F97" s="165">
        <v>2</v>
      </c>
      <c r="G97" s="166" t="str">
        <f>[2]planilhanull!$K$3501</f>
        <v>109,81</v>
      </c>
      <c r="H97" s="165">
        <f t="shared" si="10"/>
        <v>219.62</v>
      </c>
      <c r="I97" s="167">
        <f t="shared" si="9"/>
        <v>270.89999999999998</v>
      </c>
    </row>
    <row r="98" spans="1:9" ht="55" customHeight="1" outlineLevel="1" x14ac:dyDescent="0.35">
      <c r="A98" s="40" t="s">
        <v>302</v>
      </c>
      <c r="B98" s="40" t="s">
        <v>25</v>
      </c>
      <c r="C98" s="40">
        <v>92367</v>
      </c>
      <c r="D98" s="52" t="str">
        <f>[2]planilhanull!$H$3502</f>
        <v>TUBO DE AÇO GALVANIZADO COM COSTURA, CLASSE MÉDIA, DN 65 (2 1/2"), CONEXÃO ROSQUEADA, INSTALADO EM REDE DE ALIMENTAÇÃO PARA HIDRANTE - FORNECIMENTO E INSTALAÇÃO. AF_10/2020</v>
      </c>
      <c r="E98" s="42" t="s">
        <v>297</v>
      </c>
      <c r="F98" s="42">
        <v>2</v>
      </c>
      <c r="G98" s="43" t="str">
        <f>[2]planilhanull!$K$3502</f>
        <v>135,42</v>
      </c>
      <c r="H98" s="42">
        <f t="shared" si="10"/>
        <v>270.83999999999997</v>
      </c>
      <c r="I98" s="159">
        <f t="shared" si="9"/>
        <v>334.08</v>
      </c>
    </row>
    <row r="99" spans="1:9" ht="55" customHeight="1" outlineLevel="1" x14ac:dyDescent="0.35">
      <c r="A99" s="160" t="s">
        <v>303</v>
      </c>
      <c r="B99" s="160" t="s">
        <v>25</v>
      </c>
      <c r="C99" s="164">
        <v>92368</v>
      </c>
      <c r="D99" s="182" t="str">
        <f>[2]planilhanull!$H$3503</f>
        <v>TUBO DE AÇO GALVANIZADO COM COSTURA, CLASSE MÉDIA, DN 80 (3"), CONEXÃO ROSQUEADA, INSTALADO EM REDE DE ALIMENTAÇÃO PARA HIDRANTE - FORNECIMENTO E INSTALAÇÃO. AF_10/2020</v>
      </c>
      <c r="E99" s="165" t="s">
        <v>297</v>
      </c>
      <c r="F99" s="165">
        <v>2</v>
      </c>
      <c r="G99" s="166" t="str">
        <f>[2]planilhanull!$K$3503</f>
        <v>180,12</v>
      </c>
      <c r="H99" s="165">
        <f t="shared" si="10"/>
        <v>360.24</v>
      </c>
      <c r="I99" s="167">
        <f t="shared" si="9"/>
        <v>444.36</v>
      </c>
    </row>
    <row r="100" spans="1:9" ht="55" customHeight="1" outlineLevel="1" x14ac:dyDescent="0.35">
      <c r="A100" s="40" t="s">
        <v>304</v>
      </c>
      <c r="B100" s="40" t="s">
        <v>25</v>
      </c>
      <c r="C100" s="40">
        <v>92645</v>
      </c>
      <c r="D100" s="52" t="str">
        <f>[2]planilhanull!$H$3504</f>
        <v>TUBO DE AÇO PRETO SEM COSTURA, CONEXÃO SOLDADA, DN 25 (1"), INSTALADO EM REDE DE ALIMENTAÇÃO PARA SPRINKLER - FORNECIMENTO E INSTALAÇÃO. AF_10/2020</v>
      </c>
      <c r="E100" s="42" t="s">
        <v>297</v>
      </c>
      <c r="F100" s="42">
        <v>2</v>
      </c>
      <c r="G100" s="43" t="str">
        <f>[2]planilhanull!$K$3504</f>
        <v>60,78</v>
      </c>
      <c r="H100" s="42">
        <f t="shared" si="10"/>
        <v>121.56</v>
      </c>
      <c r="I100" s="159">
        <f t="shared" si="9"/>
        <v>149.94</v>
      </c>
    </row>
    <row r="101" spans="1:9" ht="55" customHeight="1" outlineLevel="1" x14ac:dyDescent="0.35">
      <c r="A101" s="160" t="s">
        <v>305</v>
      </c>
      <c r="B101" s="164" t="s">
        <v>25</v>
      </c>
      <c r="C101" s="164">
        <v>92646</v>
      </c>
      <c r="D101" s="182" t="str">
        <f>[2]planilhanull!$H$3505</f>
        <v>TUBO DE AÇO PRETO SEM COSTURA, CONEXÃO SOLDADA, DN 32 (1 1/4"), INSTALADO EM REDE DE ALIMENTAÇÃO PARA SPRINKLER - FORNECIMENTO E INSTALAÇÃO. AF_10/2020</v>
      </c>
      <c r="E101" s="165" t="s">
        <v>297</v>
      </c>
      <c r="F101" s="165">
        <v>2</v>
      </c>
      <c r="G101" s="166" t="str">
        <f>[2]planilhanull!$K$3505</f>
        <v>80,20</v>
      </c>
      <c r="H101" s="165">
        <f t="shared" si="10"/>
        <v>160.4</v>
      </c>
      <c r="I101" s="167">
        <f t="shared" si="9"/>
        <v>197.85</v>
      </c>
    </row>
    <row r="102" spans="1:9" ht="55" customHeight="1" outlineLevel="1" x14ac:dyDescent="0.35">
      <c r="A102" s="40" t="s">
        <v>306</v>
      </c>
      <c r="B102" s="40" t="s">
        <v>25</v>
      </c>
      <c r="C102" s="40">
        <v>92648</v>
      </c>
      <c r="D102" s="52" t="str">
        <f>[2]planilhanull!$H$3506</f>
        <v>TUBO DE AÇO PRETO SEM COSTURA, CONEXÃO SOLDADA, DN 40 (1 1/2"), INSTALADO EM REDE DE ALIMENTAÇÃO PARA SPRINKLER - FORNECIMENTO E INSTALAÇÃO. AF_10/2020</v>
      </c>
      <c r="E102" s="42" t="s">
        <v>297</v>
      </c>
      <c r="F102" s="42">
        <v>2</v>
      </c>
      <c r="G102" s="43" t="str">
        <f>[2]planilhanull!$K$3506</f>
        <v>87,75</v>
      </c>
      <c r="H102" s="42">
        <f t="shared" si="10"/>
        <v>175.5</v>
      </c>
      <c r="I102" s="159">
        <f t="shared" si="9"/>
        <v>216.48</v>
      </c>
    </row>
    <row r="103" spans="1:9" ht="55" customHeight="1" outlineLevel="1" x14ac:dyDescent="0.35">
      <c r="A103" s="160" t="s">
        <v>307</v>
      </c>
      <c r="B103" s="164" t="s">
        <v>25</v>
      </c>
      <c r="C103" s="164">
        <v>92649</v>
      </c>
      <c r="D103" s="182" t="str">
        <f>[2]planilhanull!$H$3507</f>
        <v>TUBO DE AÇO PRETO SEM COSTURA, CONEXÃO SOLDADA, DN 50 (2"), INSTALADO EM REDE DE ALIMENTAÇÃO PARA SPRINKLER - FORNECIMENTO E INSTALAÇÃO. AF_10/2020</v>
      </c>
      <c r="E103" s="165" t="s">
        <v>297</v>
      </c>
      <c r="F103" s="165">
        <v>2</v>
      </c>
      <c r="G103" s="166" t="str">
        <f>[2]planilhanull!$K$3507</f>
        <v>107,10</v>
      </c>
      <c r="H103" s="165">
        <f t="shared" si="10"/>
        <v>214.2</v>
      </c>
      <c r="I103" s="167">
        <f t="shared" si="9"/>
        <v>264.22000000000003</v>
      </c>
    </row>
    <row r="104" spans="1:9" ht="55" customHeight="1" outlineLevel="1" x14ac:dyDescent="0.35">
      <c r="A104" s="40" t="s">
        <v>308</v>
      </c>
      <c r="B104" s="40" t="s">
        <v>25</v>
      </c>
      <c r="C104" s="40">
        <v>92650</v>
      </c>
      <c r="D104" s="52" t="str">
        <f>[2]planilhanull!$H$3508</f>
        <v>TUBO DE AÇO PRETO SEM COSTURA, CONEXÃO SOLDADA, DN 65 (2 1/2"), INSTALADO EM REDE DE ALIMENTAÇÃO PARA SPRINKLER - FORNECIMENTO E INSTALAÇÃO. AF_10/2020</v>
      </c>
      <c r="E104" s="42" t="s">
        <v>297</v>
      </c>
      <c r="F104" s="42">
        <v>2</v>
      </c>
      <c r="G104" s="43" t="str">
        <f>[2]planilhanull!$K$3508</f>
        <v>169,59</v>
      </c>
      <c r="H104" s="42">
        <f t="shared" si="10"/>
        <v>339.18</v>
      </c>
      <c r="I104" s="159">
        <f t="shared" si="9"/>
        <v>418.38</v>
      </c>
    </row>
    <row r="105" spans="1:9" ht="55" customHeight="1" outlineLevel="1" x14ac:dyDescent="0.35">
      <c r="A105" s="160" t="s">
        <v>309</v>
      </c>
      <c r="B105" s="164" t="s">
        <v>25</v>
      </c>
      <c r="C105" s="164">
        <v>92652</v>
      </c>
      <c r="D105" s="182" t="str">
        <f>[2]planilhanull!$H$3509</f>
        <v>TUBO DE AÇO GALVANIZADO COM COSTURA, CLASSE MÉDIA, CONEXÃO ROSQUEADA, DN 32 (1 1/4"), INSTALADO EM REDE DE ALIMENTAÇÃO PARA SPRINKLER - FORNECIMENTO E INSTALAÇÃO. AF_10/2020</v>
      </c>
      <c r="E105" s="165" t="s">
        <v>297</v>
      </c>
      <c r="F105" s="165">
        <v>2</v>
      </c>
      <c r="G105" s="166" t="str">
        <f>[2]planilhanull!$K$3509</f>
        <v>71,32</v>
      </c>
      <c r="H105" s="165">
        <f t="shared" si="10"/>
        <v>142.63999999999999</v>
      </c>
      <c r="I105" s="167">
        <f t="shared" si="9"/>
        <v>175.95</v>
      </c>
    </row>
    <row r="106" spans="1:9" ht="55" customHeight="1" outlineLevel="1" x14ac:dyDescent="0.35">
      <c r="A106" s="40" t="s">
        <v>310</v>
      </c>
      <c r="B106" s="40" t="s">
        <v>25</v>
      </c>
      <c r="C106" s="40">
        <v>92653</v>
      </c>
      <c r="D106" s="52" t="str">
        <f>[2]planilhanull!$H$3510</f>
        <v>TUBO DE AÇO GALVANIZADO COM COSTURA, CLASSE MÉDIA, CONEXÃO ROSQUEADA, DN 40 (1 1/2"), INSTALADO EM REDE DE ALIMENTAÇÃO PARA SPRINKLER - FORNECIMENTO E INSTALAÇÃO. AF_10/2020</v>
      </c>
      <c r="E106" s="42" t="s">
        <v>297</v>
      </c>
      <c r="F106" s="42">
        <v>2</v>
      </c>
      <c r="G106" s="43" t="str">
        <f>[2]planilhanull!$K$3510</f>
        <v>81,78</v>
      </c>
      <c r="H106" s="42">
        <f t="shared" si="10"/>
        <v>163.56</v>
      </c>
      <c r="I106" s="159">
        <f t="shared" si="9"/>
        <v>201.75</v>
      </c>
    </row>
    <row r="107" spans="1:9" ht="55" customHeight="1" outlineLevel="1" x14ac:dyDescent="0.35">
      <c r="A107" s="160" t="s">
        <v>311</v>
      </c>
      <c r="B107" s="164" t="s">
        <v>25</v>
      </c>
      <c r="C107" s="164">
        <v>92654</v>
      </c>
      <c r="D107" s="182" t="str">
        <f>[2]planilhanull!$H$3511</f>
        <v>TUBO DE AÇO GALVANIZADO COM COSTURA, CLASSE MÉDIA, CONEXÃO ROSQUEADA, DN 50 (2"), INSTALADO EM REDE DE ALIMENTAÇÃO PARA SPRINKLER - FORNECIMENTO E INSTALAÇÃO. AF_10/2020</v>
      </c>
      <c r="E107" s="165" t="s">
        <v>297</v>
      </c>
      <c r="F107" s="165">
        <v>2</v>
      </c>
      <c r="G107" s="166" t="str">
        <f>[2]planilhanull!$K$3511</f>
        <v>113,67</v>
      </c>
      <c r="H107" s="165">
        <f t="shared" ref="H107:H150" si="11">ROUND(F107*G107,2)</f>
        <v>227.34</v>
      </c>
      <c r="I107" s="167">
        <f t="shared" si="9"/>
        <v>280.42</v>
      </c>
    </row>
    <row r="108" spans="1:9" ht="55" customHeight="1" outlineLevel="1" x14ac:dyDescent="0.35">
      <c r="A108" s="40" t="s">
        <v>312</v>
      </c>
      <c r="B108" s="40" t="s">
        <v>25</v>
      </c>
      <c r="C108" s="40">
        <v>92655</v>
      </c>
      <c r="D108" s="52" t="str">
        <f>[2]planilhanull!$H$3512</f>
        <v>TUBO DE AÇO GALVANIZADO COM COSTURA, CLASSE MÉDIA, CONEXÃO ROSQUEADA, DN 65 (2 1/2"), INSTALADO EM REDE DE ALIMENTAÇÃO PARA SPRINKLER - FORNECIMENTO E INSTALAÇÃO. AF_10/2020</v>
      </c>
      <c r="E108" s="42" t="s">
        <v>297</v>
      </c>
      <c r="F108" s="42">
        <v>2</v>
      </c>
      <c r="G108" s="43" t="str">
        <f>[2]planilhanull!$K$3512</f>
        <v>139,36</v>
      </c>
      <c r="H108" s="42">
        <f t="shared" si="11"/>
        <v>278.72000000000003</v>
      </c>
      <c r="I108" s="159">
        <f t="shared" si="9"/>
        <v>343.8</v>
      </c>
    </row>
    <row r="109" spans="1:9" ht="55" customHeight="1" outlineLevel="1" x14ac:dyDescent="0.35">
      <c r="A109" s="160" t="s">
        <v>313</v>
      </c>
      <c r="B109" s="164" t="s">
        <v>25</v>
      </c>
      <c r="C109" s="164">
        <v>92656</v>
      </c>
      <c r="D109" s="182" t="str">
        <f>[2]planilhanull!$H$3513</f>
        <v>TUBO DE AÇO GALVANIZADO COM COSTURA, CLASSE MÉDIA, CONEXÃO ROSQUEADA, DN 80 (3"), INSTALADO EM REDE DE ALIMENTAÇÃO PARA SPRINKLER - FORNECIMENTO E INSTALAÇÃO. AF_10/2020</v>
      </c>
      <c r="E109" s="165" t="s">
        <v>297</v>
      </c>
      <c r="F109" s="165">
        <v>2</v>
      </c>
      <c r="G109" s="166" t="str">
        <f>[2]planilhanull!$K$3513</f>
        <v>184,06</v>
      </c>
      <c r="H109" s="165">
        <f t="shared" si="11"/>
        <v>368.12</v>
      </c>
      <c r="I109" s="167">
        <f t="shared" si="9"/>
        <v>454.08</v>
      </c>
    </row>
    <row r="110" spans="1:9" ht="55" customHeight="1" outlineLevel="1" x14ac:dyDescent="0.35">
      <c r="A110" s="40" t="s">
        <v>314</v>
      </c>
      <c r="B110" s="40" t="s">
        <v>25</v>
      </c>
      <c r="C110" s="40">
        <v>92907</v>
      </c>
      <c r="D110" s="52" t="str">
        <f>[2]planilhanull!$H$4231</f>
        <v>LUVA DE REDUÇÃO, EM FERRO GALVANIZADO, 2" X 1 1/2", CONEXÃO ROSQUEADA, INSTALADO EM PRUMADAS - FORNECIMENTO E INSTALAÇÃO. AF_10/2020</v>
      </c>
      <c r="E110" s="42" t="s">
        <v>7</v>
      </c>
      <c r="F110" s="42">
        <v>5</v>
      </c>
      <c r="G110" s="43" t="str">
        <f>[2]planilhanull!$K$4231</f>
        <v>60,94</v>
      </c>
      <c r="H110" s="42">
        <f t="shared" si="11"/>
        <v>304.7</v>
      </c>
      <c r="I110" s="159">
        <f t="shared" si="9"/>
        <v>375.85</v>
      </c>
    </row>
    <row r="111" spans="1:9" ht="55" customHeight="1" outlineLevel="1" x14ac:dyDescent="0.35">
      <c r="A111" s="160" t="s">
        <v>315</v>
      </c>
      <c r="B111" s="164" t="s">
        <v>25</v>
      </c>
      <c r="C111" s="164">
        <v>92908</v>
      </c>
      <c r="D111" s="182" t="str">
        <f>[2]planilhanull!$H$4232</f>
        <v>LUVA DE REDUÇÃO, EM FERRO GALVANIZADO, 2" X 1 1/4", CONEXÃO ROSQUEADA, INSTALADO EM PRUMADAS - FORNECIMENTO E INSTALAÇÃO. AF_10/2020</v>
      </c>
      <c r="E111" s="165" t="s">
        <v>7</v>
      </c>
      <c r="F111" s="165">
        <v>5</v>
      </c>
      <c r="G111" s="166" t="str">
        <f>[2]planilhanull!$K$4232</f>
        <v>60,94</v>
      </c>
      <c r="H111" s="165">
        <f t="shared" si="11"/>
        <v>304.7</v>
      </c>
      <c r="I111" s="167">
        <f t="shared" si="9"/>
        <v>375.85</v>
      </c>
    </row>
    <row r="112" spans="1:9" ht="55" customHeight="1" outlineLevel="1" x14ac:dyDescent="0.35">
      <c r="A112" s="40" t="s">
        <v>316</v>
      </c>
      <c r="B112" s="40" t="s">
        <v>25</v>
      </c>
      <c r="C112" s="40">
        <v>92909</v>
      </c>
      <c r="D112" s="52" t="str">
        <f>[2]planilhanull!$H$4233</f>
        <v>LUVA DE REDUÇÃO, EM FERRO GALVANIZADO, 2" X 1", CONEXÃO ROSQUEADA, INSTALADO EM PRUMADAS - FORNECIMENTO E INSTALAÇÃO. AF_10/2020</v>
      </c>
      <c r="E112" s="42" t="s">
        <v>7</v>
      </c>
      <c r="F112" s="42">
        <v>5</v>
      </c>
      <c r="G112" s="43" t="str">
        <f>[2]planilhanull!$K$4233</f>
        <v>60,94</v>
      </c>
      <c r="H112" s="42">
        <f t="shared" si="11"/>
        <v>304.7</v>
      </c>
      <c r="I112" s="159">
        <f t="shared" si="9"/>
        <v>375.85</v>
      </c>
    </row>
    <row r="113" spans="1:9" ht="55" customHeight="1" outlineLevel="1" x14ac:dyDescent="0.35">
      <c r="A113" s="160" t="s">
        <v>317</v>
      </c>
      <c r="B113" s="164" t="s">
        <v>25</v>
      </c>
      <c r="C113" s="164">
        <v>92910</v>
      </c>
      <c r="D113" s="182" t="str">
        <f>[2]planilhanull!$H$4234</f>
        <v>LUVA DE REDUÇÃO, EM FERRO GALVANIZADO, 2 1/2" X 1 1/2", CONEXÃO ROSQUEADA, INSTALADO EM PRUMADAS - FORNECIMENTO E INSTALAÇÃO. AF_10/2020</v>
      </c>
      <c r="E113" s="165" t="s">
        <v>7</v>
      </c>
      <c r="F113" s="165">
        <v>5</v>
      </c>
      <c r="G113" s="166" t="str">
        <f>[2]planilhanull!$K$4234</f>
        <v>89,72</v>
      </c>
      <c r="H113" s="165">
        <f t="shared" si="11"/>
        <v>448.6</v>
      </c>
      <c r="I113" s="167">
        <f t="shared" si="9"/>
        <v>553.35</v>
      </c>
    </row>
    <row r="114" spans="1:9" ht="55" customHeight="1" outlineLevel="1" x14ac:dyDescent="0.35">
      <c r="A114" s="40" t="s">
        <v>318</v>
      </c>
      <c r="B114" s="40" t="s">
        <v>25</v>
      </c>
      <c r="C114" s="40">
        <v>92911</v>
      </c>
      <c r="D114" s="52" t="str">
        <f>[2]planilhanull!$H$4235</f>
        <v>LUVA DE REDUÇÃO, EM FERRO GALVANIZADO, 2 1/2" X 2", CONEXÃO ROSQUEADA, INSTALADO EM PRUMADAS - FORNECIMENTO E INSTALAÇÃO. AF_10/2020</v>
      </c>
      <c r="E114" s="42" t="s">
        <v>7</v>
      </c>
      <c r="F114" s="42">
        <v>5</v>
      </c>
      <c r="G114" s="43" t="str">
        <f>[2]planilhanull!$K$4235</f>
        <v>89,72</v>
      </c>
      <c r="H114" s="42">
        <f t="shared" si="11"/>
        <v>448.6</v>
      </c>
      <c r="I114" s="159">
        <f t="shared" si="9"/>
        <v>553.35</v>
      </c>
    </row>
    <row r="115" spans="1:9" ht="55" customHeight="1" outlineLevel="1" x14ac:dyDescent="0.35">
      <c r="A115" s="160" t="s">
        <v>319</v>
      </c>
      <c r="B115" s="164" t="s">
        <v>25</v>
      </c>
      <c r="C115" s="164">
        <v>92912</v>
      </c>
      <c r="D115" s="182" t="str">
        <f>[2]planilhanull!$H$4236</f>
        <v>LUVA DE REDUÇÃO, EM FERRO GALVANIZADO, 3" X 1 1/2", CONEXÃO ROSQUEADA, INSTALADO EM PRUMADAS - FORNECIMENTO E INSTALAÇÃO. AF_10/2020</v>
      </c>
      <c r="E115" s="165" t="s">
        <v>7</v>
      </c>
      <c r="F115" s="165">
        <v>5</v>
      </c>
      <c r="G115" s="166" t="str">
        <f>[2]planilhanull!$K$4236</f>
        <v>121,87</v>
      </c>
      <c r="H115" s="165">
        <f t="shared" si="11"/>
        <v>609.35</v>
      </c>
      <c r="I115" s="167">
        <f t="shared" si="9"/>
        <v>751.63</v>
      </c>
    </row>
    <row r="116" spans="1:9" ht="55" customHeight="1" outlineLevel="1" x14ac:dyDescent="0.35">
      <c r="A116" s="40" t="s">
        <v>320</v>
      </c>
      <c r="B116" s="40" t="s">
        <v>25</v>
      </c>
      <c r="C116" s="40">
        <v>92913</v>
      </c>
      <c r="D116" s="52" t="str">
        <f>[2]planilhanull!$H$4237</f>
        <v>LUVA DE REDUÇÃO, EM FERRO GALVANIZADO, 3" X 2 1/2", CONEXÃO ROSQUEADA, INSTALADO EM PRUMADAS - FORNECIMENTO E INSTALAÇÃO. AF_10/2020</v>
      </c>
      <c r="E116" s="42" t="s">
        <v>7</v>
      </c>
      <c r="F116" s="42">
        <v>5</v>
      </c>
      <c r="G116" s="43" t="str">
        <f>[2]planilhanull!$K$4237</f>
        <v>124,17</v>
      </c>
      <c r="H116" s="42">
        <f t="shared" si="11"/>
        <v>620.85</v>
      </c>
      <c r="I116" s="159">
        <f t="shared" si="9"/>
        <v>765.82</v>
      </c>
    </row>
    <row r="117" spans="1:9" ht="55" customHeight="1" outlineLevel="1" x14ac:dyDescent="0.35">
      <c r="A117" s="160" t="s">
        <v>321</v>
      </c>
      <c r="B117" s="164" t="s">
        <v>25</v>
      </c>
      <c r="C117" s="164">
        <v>92918</v>
      </c>
      <c r="D117" s="182" t="str">
        <f>[2]planilhanull!$H$4239</f>
        <v>LUVA DE REDUÇÃO, EM FERRO GALVANIZADO, 1" X 1/2", CONEXÃO ROSQUEADA, INSTALADO EM REDE DE ALIMENTAÇÃO PARA HIDRANTE - FORNECIMENTO E INSTALAÇÃO. AF_10/2020</v>
      </c>
      <c r="E117" s="165" t="s">
        <v>7</v>
      </c>
      <c r="F117" s="165">
        <v>5</v>
      </c>
      <c r="G117" s="166" t="str">
        <f>[2]planilhanull!$K$4239</f>
        <v>31,47</v>
      </c>
      <c r="H117" s="165">
        <f t="shared" si="11"/>
        <v>157.35</v>
      </c>
      <c r="I117" s="167">
        <f t="shared" si="9"/>
        <v>194.09</v>
      </c>
    </row>
    <row r="118" spans="1:9" ht="55" customHeight="1" outlineLevel="1" x14ac:dyDescent="0.35">
      <c r="A118" s="40" t="s">
        <v>322</v>
      </c>
      <c r="B118" s="40" t="s">
        <v>25</v>
      </c>
      <c r="C118" s="40">
        <v>92920</v>
      </c>
      <c r="D118" s="52" t="str">
        <f>[2]planilhanull!$H$4240</f>
        <v>LUVA DE REDUÇÃO, EM FERRO GALVANIZADO, 1" X 3/4", CONEXÃO ROSQUEADA, INSTALADO EM REDE DE ALIMENTAÇÃO PARA HIDRANTE - FORNECIMENTO E INSTALAÇÃO. AF_10/2020</v>
      </c>
      <c r="E118" s="42" t="s">
        <v>7</v>
      </c>
      <c r="F118" s="42">
        <v>5</v>
      </c>
      <c r="G118" s="43" t="str">
        <f>[2]planilhanull!$K$4240</f>
        <v>31,70</v>
      </c>
      <c r="H118" s="42">
        <f t="shared" si="11"/>
        <v>158.5</v>
      </c>
      <c r="I118" s="159">
        <f t="shared" si="9"/>
        <v>195.51</v>
      </c>
    </row>
    <row r="119" spans="1:9" ht="55" customHeight="1" outlineLevel="1" x14ac:dyDescent="0.35">
      <c r="A119" s="160" t="s">
        <v>323</v>
      </c>
      <c r="B119" s="164" t="s">
        <v>25</v>
      </c>
      <c r="C119" s="164">
        <v>92925</v>
      </c>
      <c r="D119" s="182" t="str">
        <f>[2]planilhanull!$H$4241</f>
        <v>LUVA DE REDUÇÃO, EM FERRO GALVANIZADO, 1 1/4" X 1", CONEXÃO ROSQUEADA, INSTALADO EM REDE DE ALIMENTAÇÃO PARA HIDRANTE - FORNECIMENTO E INSTALAÇÃO. AF_10/2020</v>
      </c>
      <c r="E119" s="165" t="s">
        <v>7</v>
      </c>
      <c r="F119" s="165">
        <v>5</v>
      </c>
      <c r="G119" s="166" t="str">
        <f>[2]planilhanull!$K$4241</f>
        <v>39,42</v>
      </c>
      <c r="H119" s="165">
        <f t="shared" si="11"/>
        <v>197.1</v>
      </c>
      <c r="I119" s="167">
        <f t="shared" si="9"/>
        <v>243.12</v>
      </c>
    </row>
    <row r="120" spans="1:9" ht="55" customHeight="1" outlineLevel="1" x14ac:dyDescent="0.35">
      <c r="A120" s="40" t="s">
        <v>324</v>
      </c>
      <c r="B120" s="40" t="s">
        <v>25</v>
      </c>
      <c r="C120" s="40">
        <v>92926</v>
      </c>
      <c r="D120" s="52" t="str">
        <f>[2]planilhanull!$H$4242</f>
        <v>LUVA DE REDUÇÃO, EM FERRO GALVANIZADO, 1 1/4" X 1/2", CONEXÃO ROSQUEADA, INSTALADO EM REDE DE ALIMENTAÇÃO PARA HIDRANTE - FORNECIMENTO E INSTALAÇÃO. AF_10/2020</v>
      </c>
      <c r="E120" s="42" t="s">
        <v>7</v>
      </c>
      <c r="F120" s="42">
        <v>5</v>
      </c>
      <c r="G120" s="43" t="str">
        <f>[2]planilhanull!$K$4242</f>
        <v>39,41</v>
      </c>
      <c r="H120" s="42">
        <f t="shared" si="11"/>
        <v>197.05</v>
      </c>
      <c r="I120" s="159">
        <f t="shared" ref="I120:I151" si="12">ROUND(H120*(1+$I$9),2)</f>
        <v>243.06</v>
      </c>
    </row>
    <row r="121" spans="1:9" ht="55" customHeight="1" outlineLevel="1" x14ac:dyDescent="0.35">
      <c r="A121" s="160" t="s">
        <v>325</v>
      </c>
      <c r="B121" s="164" t="s">
        <v>25</v>
      </c>
      <c r="C121" s="164">
        <v>92927</v>
      </c>
      <c r="D121" s="182" t="str">
        <f>[2]planilhanull!$H$4243</f>
        <v>LUVA DE REDUÇÃO, EM FERRO GALVANIZADO, 1 1/4" X 3/4", CONEXÃO ROSQUEADA, INSTALADO EM REDE DE ALIMENTAÇÃO PARA HIDRANTE - FORNECIMENTO E INSTALAÇÃO. AF_10/2020</v>
      </c>
      <c r="E121" s="165" t="s">
        <v>7</v>
      </c>
      <c r="F121" s="165">
        <v>5</v>
      </c>
      <c r="G121" s="166" t="str">
        <f>[2]planilhanull!$K$4243</f>
        <v>39,41</v>
      </c>
      <c r="H121" s="165">
        <f t="shared" si="11"/>
        <v>197.05</v>
      </c>
      <c r="I121" s="167">
        <f t="shared" si="12"/>
        <v>243.06</v>
      </c>
    </row>
    <row r="122" spans="1:9" ht="55" customHeight="1" outlineLevel="1" x14ac:dyDescent="0.35">
      <c r="A122" s="40" t="s">
        <v>326</v>
      </c>
      <c r="B122" s="40" t="s">
        <v>25</v>
      </c>
      <c r="C122" s="40">
        <v>92928</v>
      </c>
      <c r="D122" s="52" t="str">
        <f>[2]planilhanull!$H$4244</f>
        <v>LUVA DE REDUÇÃO, EM FERRO GALVANIZADO, 1 1/2" X 1 1/4", CONEXÃO ROSQUEADA, INSTALADO EM REDE DE ALIMENTAÇÃO PARA HIDRANTE - FORNECIMENTO E INSTALAÇÃO. AF_10/2020</v>
      </c>
      <c r="E122" s="42" t="s">
        <v>7</v>
      </c>
      <c r="F122" s="42">
        <v>5</v>
      </c>
      <c r="G122" s="43" t="str">
        <f>[2]planilhanull!$K$4244</f>
        <v>45,22</v>
      </c>
      <c r="H122" s="42">
        <f t="shared" si="11"/>
        <v>226.1</v>
      </c>
      <c r="I122" s="159">
        <f t="shared" si="12"/>
        <v>278.89</v>
      </c>
    </row>
    <row r="123" spans="1:9" ht="55" customHeight="1" outlineLevel="1" x14ac:dyDescent="0.35">
      <c r="A123" s="160" t="s">
        <v>327</v>
      </c>
      <c r="B123" s="164" t="s">
        <v>25</v>
      </c>
      <c r="C123" s="164">
        <v>92929</v>
      </c>
      <c r="D123" s="182" t="str">
        <f>[2]planilhanull!$H$4245</f>
        <v>LUVA DE REDUÇÃO, EM FERRO GALVANIZADO, 1 1/2" X 1", CONEXÃO ROSQUEADA, INSTALADO EM REDE DE ALIMENTAÇÃO PARA HIDRANTE - FORNECIMENTO E INSTALAÇÃO. AF_10/2020</v>
      </c>
      <c r="E123" s="165" t="s">
        <v>7</v>
      </c>
      <c r="F123" s="165">
        <v>5</v>
      </c>
      <c r="G123" s="166" t="str">
        <f>[2]planilhanull!$K$4245</f>
        <v>45,22</v>
      </c>
      <c r="H123" s="165">
        <f t="shared" si="11"/>
        <v>226.1</v>
      </c>
      <c r="I123" s="167">
        <f t="shared" si="12"/>
        <v>278.89</v>
      </c>
    </row>
    <row r="124" spans="1:9" ht="55" customHeight="1" outlineLevel="1" x14ac:dyDescent="0.35">
      <c r="A124" s="40" t="s">
        <v>328</v>
      </c>
      <c r="B124" s="40" t="s">
        <v>25</v>
      </c>
      <c r="C124" s="40">
        <v>92930</v>
      </c>
      <c r="D124" s="52" t="str">
        <f>[2]planilhanull!$H$4246</f>
        <v>LUVA DE REDUÇÃO, EM FERRO GALVANIZADO, 1 1/2" X 3/4", CONEXÃO ROSQUEADA, INSTALADO EM REDE DE ALIMENTAÇÃO PARA HIDRANTE - FORNECIMENTO E INSTALAÇÃO. AF_10/2020</v>
      </c>
      <c r="E124" s="42" t="s">
        <v>7</v>
      </c>
      <c r="F124" s="42">
        <v>5</v>
      </c>
      <c r="G124" s="43" t="str">
        <f>[2]planilhanull!$K$4246</f>
        <v>45,22</v>
      </c>
      <c r="H124" s="42">
        <f t="shared" si="11"/>
        <v>226.1</v>
      </c>
      <c r="I124" s="159">
        <f t="shared" si="12"/>
        <v>278.89</v>
      </c>
    </row>
    <row r="125" spans="1:9" ht="55" customHeight="1" outlineLevel="1" x14ac:dyDescent="0.35">
      <c r="A125" s="160" t="s">
        <v>329</v>
      </c>
      <c r="B125" s="164" t="s">
        <v>25</v>
      </c>
      <c r="C125" s="164">
        <v>92931</v>
      </c>
      <c r="D125" s="182" t="str">
        <f>[2]planilhanull!$H$4247</f>
        <v>LUVA DE REDUÇÃO, EM FERRO GALVANIZADO, 2" X 1 1/2", CONEXÃO ROSQUEADA, INSTALADO EM REDE DE ALIMENTAÇÃO PARA HIDRANTE - FORNECIMENTO E INSTALAÇÃO. AF_10/2020</v>
      </c>
      <c r="E125" s="165" t="s">
        <v>7</v>
      </c>
      <c r="F125" s="165">
        <v>5</v>
      </c>
      <c r="G125" s="166" t="str">
        <f>[2]planilhanull!$K$4247</f>
        <v>60,91</v>
      </c>
      <c r="H125" s="165">
        <f t="shared" si="11"/>
        <v>304.55</v>
      </c>
      <c r="I125" s="167">
        <f t="shared" si="12"/>
        <v>375.66</v>
      </c>
    </row>
    <row r="126" spans="1:9" ht="55" customHeight="1" outlineLevel="1" x14ac:dyDescent="0.35">
      <c r="A126" s="40" t="s">
        <v>330</v>
      </c>
      <c r="B126" s="40" t="s">
        <v>25</v>
      </c>
      <c r="C126" s="40">
        <v>92932</v>
      </c>
      <c r="D126" s="52" t="str">
        <f>[2]planilhanull!$H$4248</f>
        <v>LUVA DE REDUÇÃO, EM FERRO GALVANIZADO, 2" X 1 1/4", CONEXÃO ROSQUEADA, INSTALADO EM REDE DE ALIMENTAÇÃO PARA HIDRANTE - FORNECIMENTO E INSTALAÇÃO. AF_10/2020</v>
      </c>
      <c r="E126" s="42" t="s">
        <v>7</v>
      </c>
      <c r="F126" s="42">
        <v>5</v>
      </c>
      <c r="G126" s="43" t="str">
        <f>[2]planilhanull!$K$4248</f>
        <v>60,91</v>
      </c>
      <c r="H126" s="42">
        <f t="shared" si="11"/>
        <v>304.55</v>
      </c>
      <c r="I126" s="159">
        <f t="shared" si="12"/>
        <v>375.66</v>
      </c>
    </row>
    <row r="127" spans="1:9" ht="55" customHeight="1" outlineLevel="1" x14ac:dyDescent="0.35">
      <c r="A127" s="160" t="s">
        <v>331</v>
      </c>
      <c r="B127" s="164" t="s">
        <v>25</v>
      </c>
      <c r="C127" s="164">
        <v>92933</v>
      </c>
      <c r="D127" s="182" t="str">
        <f>[2]planilhanull!$H$4249</f>
        <v>LUVA DE REDUÇÃO, EM FERRO GALVANIZADO, 2" X 1", CONEXÃO ROSQUEADA, INSTALADO EM REDE DE ALIMENTAÇÃO PARA HIDRANTE - FORNECIMENTO E INSTALAÇÃO. AF_10/2020</v>
      </c>
      <c r="E127" s="165" t="s">
        <v>7</v>
      </c>
      <c r="F127" s="165">
        <v>5</v>
      </c>
      <c r="G127" s="166" t="str">
        <f>[2]planilhanull!$K$4249</f>
        <v>60,91</v>
      </c>
      <c r="H127" s="165">
        <f t="shared" si="11"/>
        <v>304.55</v>
      </c>
      <c r="I127" s="167">
        <f t="shared" si="12"/>
        <v>375.66</v>
      </c>
    </row>
    <row r="128" spans="1:9" ht="55" customHeight="1" outlineLevel="1" x14ac:dyDescent="0.35">
      <c r="A128" s="40" t="s">
        <v>332</v>
      </c>
      <c r="B128" s="40" t="s">
        <v>25</v>
      </c>
      <c r="C128" s="40">
        <v>92934</v>
      </c>
      <c r="D128" s="52" t="str">
        <f>[2]planilhanull!$H$4250</f>
        <v>LUVA DE REDUÇÃO, EM FERRO GALVANIZADO, 2 1/2" X 1 1/2", CONEXÃO ROSQUEADA, INSTALADO EM REDE DE ALIMENTAÇÃO PARA HIDRANTE - FORNECIMENTO E INSTALAÇÃO. AF_10/2020</v>
      </c>
      <c r="E128" s="42" t="s">
        <v>7</v>
      </c>
      <c r="F128" s="42">
        <v>5</v>
      </c>
      <c r="G128" s="43" t="str">
        <f>[2]planilhanull!$K$4250</f>
        <v>91,06</v>
      </c>
      <c r="H128" s="42">
        <f t="shared" si="11"/>
        <v>455.3</v>
      </c>
      <c r="I128" s="159">
        <f t="shared" si="12"/>
        <v>561.61</v>
      </c>
    </row>
    <row r="129" spans="1:9" ht="55" customHeight="1" outlineLevel="1" x14ac:dyDescent="0.35">
      <c r="A129" s="160" t="s">
        <v>333</v>
      </c>
      <c r="B129" s="164" t="s">
        <v>25</v>
      </c>
      <c r="C129" s="164">
        <v>92935</v>
      </c>
      <c r="D129" s="182" t="str">
        <f>[2]planilhanull!$H$4251</f>
        <v>LUVA DE REDUÇÃO, EM FERRO GALVANIZADO, 2 1/2" X 2", CONEXÃO ROSQUEADA, INSTALADO EM REDE DE ALIMENTAÇÃO PARA HIDRANTE - FORNECIMENTO E INSTALAÇÃO. AF_10/2020</v>
      </c>
      <c r="E129" s="165" t="s">
        <v>7</v>
      </c>
      <c r="F129" s="165">
        <v>5</v>
      </c>
      <c r="G129" s="166" t="str">
        <f>[2]planilhanull!$K$4251</f>
        <v>91,06</v>
      </c>
      <c r="H129" s="165">
        <f t="shared" si="11"/>
        <v>455.3</v>
      </c>
      <c r="I129" s="167">
        <f t="shared" si="12"/>
        <v>561.61</v>
      </c>
    </row>
    <row r="130" spans="1:9" ht="55" customHeight="1" outlineLevel="1" x14ac:dyDescent="0.35">
      <c r="A130" s="40" t="s">
        <v>334</v>
      </c>
      <c r="B130" s="40" t="s">
        <v>25</v>
      </c>
      <c r="C130" s="40">
        <v>92938</v>
      </c>
      <c r="D130" s="52" t="str">
        <f>[2]planilhanull!$H$4254</f>
        <v>LUVA DE REDUÇÃO, EM FERRO GALVANIZADO, 1" X 1/2", CONEXÃO ROSQUEADA, INSTALADO EM REDE DE ALIMENTAÇÃO PARA SPRINKLER - FORNECIMENTO E INSTALAÇÃO. AF_10/2020</v>
      </c>
      <c r="E130" s="42" t="s">
        <v>7</v>
      </c>
      <c r="F130" s="42">
        <v>5</v>
      </c>
      <c r="G130" s="43" t="str">
        <f>[2]planilhanull!$K$4254</f>
        <v>24,02</v>
      </c>
      <c r="H130" s="42">
        <f t="shared" si="11"/>
        <v>120.1</v>
      </c>
      <c r="I130" s="159">
        <f t="shared" si="12"/>
        <v>148.13999999999999</v>
      </c>
    </row>
    <row r="131" spans="1:9" ht="55" customHeight="1" outlineLevel="1" x14ac:dyDescent="0.35">
      <c r="A131" s="160" t="s">
        <v>335</v>
      </c>
      <c r="B131" s="164" t="s">
        <v>25</v>
      </c>
      <c r="C131" s="164">
        <v>92939</v>
      </c>
      <c r="D131" s="182" t="str">
        <f>[2]planilhanull!$H$4255</f>
        <v>LUVA DE REDUÇÃO, EM FERRO GALVANIZADO, 1" X 3/4", CONEXÃO ROSQUEADA, INSTALADO EM REDE DE ALIMENTAÇÃO PARA SPRINKLER - FORNECIMENTO E INSTALAÇÃO. AF_10/2020</v>
      </c>
      <c r="E131" s="165" t="s">
        <v>7</v>
      </c>
      <c r="F131" s="165">
        <v>5</v>
      </c>
      <c r="G131" s="166" t="str">
        <f>[2]planilhanull!$K$4255</f>
        <v>24,25</v>
      </c>
      <c r="H131" s="165">
        <f t="shared" si="11"/>
        <v>121.25</v>
      </c>
      <c r="I131" s="167">
        <f t="shared" si="12"/>
        <v>149.56</v>
      </c>
    </row>
    <row r="132" spans="1:9" ht="55" customHeight="1" outlineLevel="1" x14ac:dyDescent="0.35">
      <c r="A132" s="40" t="s">
        <v>336</v>
      </c>
      <c r="B132" s="40" t="s">
        <v>25</v>
      </c>
      <c r="C132" s="40">
        <v>92940</v>
      </c>
      <c r="D132" s="52" t="str">
        <f>[2]planilhanull!$H$4256</f>
        <v>LUVA DE REDUÇÃO, EM FERRO GALVANIZADO, 1 1/4" X 1", CONEXÃO ROSQUEADA, INSTALADO EM REDE DE ALIMENTAÇÃO PARA SPRINKLER - FORNECIMENTO E INSTALAÇÃO. AF_10/2020</v>
      </c>
      <c r="E132" s="42" t="s">
        <v>7</v>
      </c>
      <c r="F132" s="42">
        <v>5</v>
      </c>
      <c r="G132" s="43" t="str">
        <f>[2]planilhanull!$K$4256</f>
        <v>30,95</v>
      </c>
      <c r="H132" s="42">
        <f t="shared" si="11"/>
        <v>154.75</v>
      </c>
      <c r="I132" s="159">
        <f t="shared" si="12"/>
        <v>190.88</v>
      </c>
    </row>
    <row r="133" spans="1:9" ht="55" customHeight="1" outlineLevel="1" x14ac:dyDescent="0.35">
      <c r="A133" s="160" t="s">
        <v>337</v>
      </c>
      <c r="B133" s="164" t="s">
        <v>25</v>
      </c>
      <c r="C133" s="164">
        <v>92941</v>
      </c>
      <c r="D133" s="182" t="str">
        <f>[2]planilhanull!$H$4257</f>
        <v>LUVA DE REDUÇÃO, EM FERRO GALVANIZADO, 1 1/4" X 1/2", CONEXÃO ROSQUEADA, INSTALADO EM REDE DE ALIMENTAÇÃO PARA SPRINKLER - FORNECIMENTO E INSTALAÇÃO. AF_10/2020</v>
      </c>
      <c r="E133" s="165" t="s">
        <v>7</v>
      </c>
      <c r="F133" s="165">
        <v>5</v>
      </c>
      <c r="G133" s="166" t="str">
        <f>[2]planilhanull!$K$4257</f>
        <v>30,94</v>
      </c>
      <c r="H133" s="165">
        <f t="shared" si="11"/>
        <v>154.69999999999999</v>
      </c>
      <c r="I133" s="167">
        <f t="shared" si="12"/>
        <v>190.82</v>
      </c>
    </row>
    <row r="134" spans="1:9" ht="55" customHeight="1" outlineLevel="1" x14ac:dyDescent="0.35">
      <c r="A134" s="40" t="s">
        <v>338</v>
      </c>
      <c r="B134" s="40" t="s">
        <v>25</v>
      </c>
      <c r="C134" s="40">
        <v>92942</v>
      </c>
      <c r="D134" s="52" t="str">
        <f>[2]planilhanull!$H$4258</f>
        <v>LUVA DE REDUÇÃO, EM FERRO GALVANIZADO, 1 1/4" X 3/4", CONEXÃO ROSQUEADA, INSTALADO EM REDE DE ALIMENTAÇÃO PARA SPRINKLER - FORNECIMENTO E INSTALAÇÃO. AF_10/2020</v>
      </c>
      <c r="E134" s="42" t="s">
        <v>7</v>
      </c>
      <c r="F134" s="42">
        <v>5</v>
      </c>
      <c r="G134" s="43" t="str">
        <f>[2]planilhanull!$K$4258</f>
        <v>30,94</v>
      </c>
      <c r="H134" s="42">
        <f t="shared" si="11"/>
        <v>154.69999999999999</v>
      </c>
      <c r="I134" s="159">
        <f t="shared" si="12"/>
        <v>190.82</v>
      </c>
    </row>
    <row r="135" spans="1:9" ht="55" customHeight="1" outlineLevel="1" x14ac:dyDescent="0.35">
      <c r="A135" s="160" t="s">
        <v>339</v>
      </c>
      <c r="B135" s="164" t="s">
        <v>25</v>
      </c>
      <c r="C135" s="164">
        <v>92943</v>
      </c>
      <c r="D135" s="182" t="str">
        <f>[2]planilhanull!$H$4259</f>
        <v>LUVA DE REDUÇÃO, EM FERRO GALVANIZADO, 1 1/2" X 1 1/4", CONEXÃO ROSQUEADA, INSTALADO EM REDE DE ALIMENTAÇÃO PARA SPRINKLER - FORNECIMENTO E INSTALAÇÃO. AF_10/2020</v>
      </c>
      <c r="E135" s="165" t="s">
        <v>7</v>
      </c>
      <c r="F135" s="165">
        <v>5</v>
      </c>
      <c r="G135" s="166" t="str">
        <f>[2]planilhanull!$K$4259</f>
        <v>35,57</v>
      </c>
      <c r="H135" s="165">
        <f t="shared" si="11"/>
        <v>177.85</v>
      </c>
      <c r="I135" s="167">
        <f t="shared" si="12"/>
        <v>219.38</v>
      </c>
    </row>
    <row r="136" spans="1:9" ht="55" customHeight="1" outlineLevel="1" x14ac:dyDescent="0.35">
      <c r="A136" s="40" t="s">
        <v>340</v>
      </c>
      <c r="B136" s="40" t="s">
        <v>25</v>
      </c>
      <c r="C136" s="40">
        <v>92944</v>
      </c>
      <c r="D136" s="52" t="str">
        <f>[2]planilhanull!$H$4260</f>
        <v>LUVA DE REDUÇÃO, EM FERRO GALVANIZADO, 1 1/2" X 1", CONEXÃO ROSQUEADA, INSTALADO EM REDE DE ALIMENTAÇÃO PARA SPRINKLER - FORNECIMENTO E INSTALAÇÃO. AF_10/2020</v>
      </c>
      <c r="E136" s="42" t="s">
        <v>7</v>
      </c>
      <c r="F136" s="42">
        <v>5</v>
      </c>
      <c r="G136" s="43" t="str">
        <f>[2]planilhanull!$K$4260</f>
        <v>35,57</v>
      </c>
      <c r="H136" s="42">
        <f t="shared" si="11"/>
        <v>177.85</v>
      </c>
      <c r="I136" s="159">
        <f t="shared" si="12"/>
        <v>219.38</v>
      </c>
    </row>
    <row r="137" spans="1:9" ht="55" customHeight="1" outlineLevel="1" x14ac:dyDescent="0.35">
      <c r="A137" s="160" t="s">
        <v>341</v>
      </c>
      <c r="B137" s="164" t="s">
        <v>25</v>
      </c>
      <c r="C137" s="164">
        <v>92945</v>
      </c>
      <c r="D137" s="182" t="str">
        <f>[2]planilhanull!$H$4261</f>
        <v>LUVA DE REDUÇÃO, EM FERRO GALVANIZADO, 1 1/2" X 3/4", CONEXÃO ROSQUEADA, INSTALADO EM REDE DE ALIMENTAÇÃO PARA SPRINKLER - FORNECIMENTO E INSTALAÇÃO. AF_10/2020</v>
      </c>
      <c r="E137" s="165" t="s">
        <v>7</v>
      </c>
      <c r="F137" s="165">
        <v>5</v>
      </c>
      <c r="G137" s="166" t="str">
        <f>[2]planilhanull!$K$4261</f>
        <v>35,57</v>
      </c>
      <c r="H137" s="165">
        <f t="shared" si="11"/>
        <v>177.85</v>
      </c>
      <c r="I137" s="167">
        <f t="shared" si="12"/>
        <v>219.38</v>
      </c>
    </row>
    <row r="138" spans="1:9" ht="55" customHeight="1" outlineLevel="1" x14ac:dyDescent="0.35">
      <c r="A138" s="40" t="s">
        <v>342</v>
      </c>
      <c r="B138" s="40" t="s">
        <v>25</v>
      </c>
      <c r="C138" s="40">
        <v>92946</v>
      </c>
      <c r="D138" s="52" t="str">
        <f>[2]planilhanull!$H$4262</f>
        <v>LUVA DE REDUÇÃO, EM FERRO GALVANIZADO, 2" X 1 1/2", CONEXÃO ROSQUEADA, INSTALADO EM REDE DE ALIMENTAÇÃO PARA SPRINKLER - FORNECIMENTO E INSTALAÇÃO. AF_10/2020</v>
      </c>
      <c r="E138" s="42" t="s">
        <v>7</v>
      </c>
      <c r="F138" s="42">
        <v>5</v>
      </c>
      <c r="G138" s="43" t="str">
        <f>[2]planilhanull!$K$4262</f>
        <v>49,80</v>
      </c>
      <c r="H138" s="42">
        <f t="shared" si="11"/>
        <v>249</v>
      </c>
      <c r="I138" s="159">
        <f t="shared" si="12"/>
        <v>307.14</v>
      </c>
    </row>
    <row r="139" spans="1:9" ht="55" customHeight="1" outlineLevel="1" x14ac:dyDescent="0.35">
      <c r="A139" s="160" t="s">
        <v>343</v>
      </c>
      <c r="B139" s="164" t="s">
        <v>25</v>
      </c>
      <c r="C139" s="164">
        <v>92947</v>
      </c>
      <c r="D139" s="182" t="str">
        <f>[2]planilhanull!$H$4263</f>
        <v>LUVA DE REDUÇÃO, EM FERRO GALVANIZADO, 2" X 1 1/4", CONEXÃO ROSQUEADA, INSTALADO EM REDE DE ALIMENTAÇÃO PARA SPRINKLER - FORNECIMENTO E INSTALAÇÃO. AF_10/2020</v>
      </c>
      <c r="E139" s="165" t="s">
        <v>7</v>
      </c>
      <c r="F139" s="165">
        <v>5</v>
      </c>
      <c r="G139" s="166" t="str">
        <f>[2]planilhanull!$K$4263</f>
        <v>49,80</v>
      </c>
      <c r="H139" s="165">
        <f t="shared" si="11"/>
        <v>249</v>
      </c>
      <c r="I139" s="167">
        <f t="shared" si="12"/>
        <v>307.14</v>
      </c>
    </row>
    <row r="140" spans="1:9" ht="55" customHeight="1" outlineLevel="1" x14ac:dyDescent="0.35">
      <c r="A140" s="40" t="s">
        <v>344</v>
      </c>
      <c r="B140" s="40" t="s">
        <v>25</v>
      </c>
      <c r="C140" s="40">
        <v>92948</v>
      </c>
      <c r="D140" s="52" t="str">
        <f>[2]planilhanull!$H$4264</f>
        <v>LUVA DE REDUÇÃO, EM FERRO GALVANIZADO, 2" X 1", CONEXÃO ROSQUEADA, INSTALADO EM REDE DE ALIMENTAÇÃO PARA SPRINKLER - FORNECIMENTO E INSTALAÇÃO. AF_10/2020</v>
      </c>
      <c r="E140" s="42" t="s">
        <v>7</v>
      </c>
      <c r="F140" s="42">
        <v>5</v>
      </c>
      <c r="G140" s="43" t="str">
        <f>[2]planilhanull!$K$4264</f>
        <v>49,80</v>
      </c>
      <c r="H140" s="42">
        <f t="shared" si="11"/>
        <v>249</v>
      </c>
      <c r="I140" s="159">
        <f t="shared" si="12"/>
        <v>307.14</v>
      </c>
    </row>
    <row r="141" spans="1:9" ht="55" customHeight="1" outlineLevel="1" x14ac:dyDescent="0.35">
      <c r="A141" s="160" t="s">
        <v>345</v>
      </c>
      <c r="B141" s="164" t="s">
        <v>25</v>
      </c>
      <c r="C141" s="164">
        <v>92373</v>
      </c>
      <c r="D141" s="182" t="str">
        <f>[2]planilhanull!$H$4142</f>
        <v>NIPLE, EM FERRO GALVANIZADO, DN 40 (1 1/2"), CONEXÃO ROSQUEADA, INSTALADO EM REDE DE ALIMENTAÇÃO PARA HIDRANTE - FORNECIMENTO E INSTALAÇÃO. AF_10/2020</v>
      </c>
      <c r="E141" s="165" t="s">
        <v>7</v>
      </c>
      <c r="F141" s="165">
        <v>5</v>
      </c>
      <c r="G141" s="166" t="str">
        <f>[2]planilhanull!$K$4142</f>
        <v>43,64</v>
      </c>
      <c r="H141" s="165">
        <f t="shared" si="11"/>
        <v>218.2</v>
      </c>
      <c r="I141" s="167">
        <f t="shared" si="12"/>
        <v>269.14999999999998</v>
      </c>
    </row>
    <row r="142" spans="1:9" ht="55" customHeight="1" outlineLevel="1" x14ac:dyDescent="0.35">
      <c r="A142" s="40" t="s">
        <v>346</v>
      </c>
      <c r="B142" s="40" t="s">
        <v>25</v>
      </c>
      <c r="C142" s="40">
        <v>92374</v>
      </c>
      <c r="D142" s="52" t="str">
        <f>[2]planilhanull!$H$4143</f>
        <v>LUVA, EM FERRO GALVANIZADO, DN 40 (1 1/2"), CONEXÃO ROSQUEADA, INSTALADO EM REDE DE ALIMENTAÇÃO PARA HIDRANTE - FORNECIMENTO E INSTALAÇÃO. AF_10/2020</v>
      </c>
      <c r="E142" s="42" t="s">
        <v>7</v>
      </c>
      <c r="F142" s="42">
        <v>5</v>
      </c>
      <c r="G142" s="43" t="str">
        <f>[2]planilhanull!$K$4143</f>
        <v>43,94</v>
      </c>
      <c r="H142" s="42">
        <f t="shared" si="11"/>
        <v>219.7</v>
      </c>
      <c r="I142" s="159">
        <f t="shared" si="12"/>
        <v>271</v>
      </c>
    </row>
    <row r="143" spans="1:9" ht="55" customHeight="1" outlineLevel="1" x14ac:dyDescent="0.35">
      <c r="A143" s="160" t="s">
        <v>347</v>
      </c>
      <c r="B143" s="164" t="s">
        <v>25</v>
      </c>
      <c r="C143" s="164">
        <v>92375</v>
      </c>
      <c r="D143" s="182" t="str">
        <f>[2]planilhanull!$H$4144</f>
        <v>NIPLE, EM FERRO GALVANIZADO, DN 50 (2"), CONEXÃO ROSQUEADA, INSTALADO EM REDE DE ALIMENTAÇÃO PARA HIDRANTE - FORNECIMENTO E INSTALAÇÃO. AF_10/2020</v>
      </c>
      <c r="E143" s="165" t="s">
        <v>7</v>
      </c>
      <c r="F143" s="165">
        <v>5</v>
      </c>
      <c r="G143" s="166" t="str">
        <f>[2]planilhanull!$K$4144</f>
        <v>57,46</v>
      </c>
      <c r="H143" s="165">
        <f t="shared" si="11"/>
        <v>287.3</v>
      </c>
      <c r="I143" s="167">
        <f t="shared" si="12"/>
        <v>354.38</v>
      </c>
    </row>
    <row r="144" spans="1:9" ht="55" customHeight="1" outlineLevel="1" x14ac:dyDescent="0.35">
      <c r="A144" s="40" t="s">
        <v>348</v>
      </c>
      <c r="B144" s="40" t="s">
        <v>25</v>
      </c>
      <c r="C144" s="40">
        <v>92376</v>
      </c>
      <c r="D144" s="52" t="str">
        <f>[2]planilhanull!$H$4145</f>
        <v>LUVA, EM FERRO GALVANIZADO, DN 50 (2"), CONEXÃO ROSQUEADA, INSTALADO EM REDE DE ALIMENTAÇÃO PARA HIDRANTE - FORNECIMENTO E INSTALAÇÃO. AF_10/2020</v>
      </c>
      <c r="E144" s="42" t="s">
        <v>7</v>
      </c>
      <c r="F144" s="42">
        <v>5</v>
      </c>
      <c r="G144" s="43" t="str">
        <f>[2]planilhanull!$K$4145</f>
        <v>57,43</v>
      </c>
      <c r="H144" s="42">
        <f t="shared" si="11"/>
        <v>287.14999999999998</v>
      </c>
      <c r="I144" s="159">
        <f t="shared" si="12"/>
        <v>354.2</v>
      </c>
    </row>
    <row r="145" spans="1:11" ht="55" customHeight="1" outlineLevel="1" x14ac:dyDescent="0.35">
      <c r="A145" s="160" t="s">
        <v>349</v>
      </c>
      <c r="B145" s="164" t="s">
        <v>25</v>
      </c>
      <c r="C145" s="164">
        <v>92377</v>
      </c>
      <c r="D145" s="182" t="str">
        <f>[2]planilhanull!$H$4146</f>
        <v>NIPLE, EM FERRO GALVANIZADO, DN 65 (2 1/2"), CONEXÃO ROSQUEADA, INSTALADO EM REDE DE ALIMENTAÇÃO PARA HIDRANTE - FORNECIMENTO E INSTALAÇÃO. AF_10/2020</v>
      </c>
      <c r="E145" s="165" t="s">
        <v>7</v>
      </c>
      <c r="F145" s="165">
        <v>5</v>
      </c>
      <c r="G145" s="166" t="str">
        <f>[2]planilhanull!$K$4146</f>
        <v>77,94</v>
      </c>
      <c r="H145" s="165">
        <f t="shared" si="11"/>
        <v>389.7</v>
      </c>
      <c r="I145" s="167">
        <f t="shared" si="12"/>
        <v>480.69</v>
      </c>
    </row>
    <row r="146" spans="1:11" ht="55" customHeight="1" outlineLevel="1" x14ac:dyDescent="0.35">
      <c r="A146" s="40" t="s">
        <v>350</v>
      </c>
      <c r="B146" s="40" t="s">
        <v>25</v>
      </c>
      <c r="C146" s="40">
        <v>92378</v>
      </c>
      <c r="D146" s="52" t="str">
        <f>[2]planilhanull!$H$4147</f>
        <v>LUVA, EM FERRO GALVANIZADO, DN 65 (2 1/2"), CONEXÃO ROSQUEADA, INSTALADO EM REDE DE ALIMENTAÇÃO PARA HIDRANTE - FORNECIMENTO E INSTALAÇÃO. AF_10/2020</v>
      </c>
      <c r="E146" s="42" t="s">
        <v>7</v>
      </c>
      <c r="F146" s="42">
        <v>5</v>
      </c>
      <c r="G146" s="43" t="str">
        <f>[2]planilhanull!$K$4147</f>
        <v>87,17</v>
      </c>
      <c r="H146" s="42">
        <f t="shared" si="11"/>
        <v>435.85</v>
      </c>
      <c r="I146" s="159">
        <f t="shared" si="12"/>
        <v>537.62</v>
      </c>
    </row>
    <row r="147" spans="1:11" ht="55" customHeight="1" outlineLevel="1" x14ac:dyDescent="0.35">
      <c r="A147" s="160" t="s">
        <v>351</v>
      </c>
      <c r="B147" s="164" t="s">
        <v>25</v>
      </c>
      <c r="C147" s="164">
        <v>92379</v>
      </c>
      <c r="D147" s="182" t="str">
        <f>[2]planilhanull!$H$4148</f>
        <v>NIPLE, EM FERRO GALVANIZADO, DN 80 (3"), CONEXÃO ROSQUEADA, INSTALADO EM REDE DE ALIMENTAÇÃO PARA HIDRANTE - FORNECIMENTO E INSTALAÇÃO. AF_10/2020</v>
      </c>
      <c r="E147" s="165" t="s">
        <v>7</v>
      </c>
      <c r="F147" s="165">
        <v>5</v>
      </c>
      <c r="G147" s="166" t="str">
        <f>[2]planilhanull!$K$4148</f>
        <v>111,92</v>
      </c>
      <c r="H147" s="165">
        <f t="shared" si="11"/>
        <v>559.6</v>
      </c>
      <c r="I147" s="167">
        <f t="shared" si="12"/>
        <v>690.27</v>
      </c>
    </row>
    <row r="148" spans="1:11" ht="55" customHeight="1" outlineLevel="1" x14ac:dyDescent="0.35">
      <c r="A148" s="40" t="s">
        <v>352</v>
      </c>
      <c r="B148" s="40" t="s">
        <v>25</v>
      </c>
      <c r="C148" s="40">
        <v>92380</v>
      </c>
      <c r="D148" s="52" t="str">
        <f>[2]planilhanull!$H$4149</f>
        <v>LUVA, EM FERRO GALVANIZADO, DN 80 (3"), CONEXÃO ROSQUEADA, INSTALADO EM REDE DE ALIMENTAÇÃO PARA HIDRANTE - FORNECIMENTO E INSTALAÇÃO. AF_10/2020</v>
      </c>
      <c r="E148" s="42" t="s">
        <v>7</v>
      </c>
      <c r="F148" s="42">
        <v>5</v>
      </c>
      <c r="G148" s="43" t="str">
        <f>[2]planilhanull!$K$4149</f>
        <v>120,13</v>
      </c>
      <c r="H148" s="42">
        <f t="shared" si="11"/>
        <v>600.65</v>
      </c>
      <c r="I148" s="159">
        <f t="shared" si="12"/>
        <v>740.9</v>
      </c>
    </row>
    <row r="149" spans="1:11" ht="55" customHeight="1" outlineLevel="1" x14ac:dyDescent="0.35">
      <c r="A149" s="160" t="s">
        <v>353</v>
      </c>
      <c r="B149" s="164" t="s">
        <v>25</v>
      </c>
      <c r="C149" s="164">
        <v>92381</v>
      </c>
      <c r="D149" s="182" t="str">
        <f>[2]planilhanull!$H$4150</f>
        <v>JOELHO 45 GRAUS, EM FERRO GALVANIZADO, DN 25 (1"), CONEXÃO ROSQUEADA, INSTALADO EM REDE DE ALIMENTAÇÃO PARA HIDRANTE - FORNECIMENTO E INSTALAÇÃO. AF_10/2020</v>
      </c>
      <c r="E149" s="165" t="s">
        <v>7</v>
      </c>
      <c r="F149" s="165">
        <v>5</v>
      </c>
      <c r="G149" s="166" t="str">
        <f>[2]planilhanull!$K$4150</f>
        <v>45,41</v>
      </c>
      <c r="H149" s="165">
        <f t="shared" si="11"/>
        <v>227.05</v>
      </c>
      <c r="I149" s="167">
        <f t="shared" si="12"/>
        <v>280.07</v>
      </c>
    </row>
    <row r="150" spans="1:11" ht="55" customHeight="1" outlineLevel="1" x14ac:dyDescent="0.35">
      <c r="A150" s="40" t="s">
        <v>354</v>
      </c>
      <c r="B150" s="40" t="s">
        <v>25</v>
      </c>
      <c r="C150" s="40">
        <v>92382</v>
      </c>
      <c r="D150" s="52" t="str">
        <f>[2]planilhanull!$H$4151</f>
        <v>JOELHO 90 GRAUS, EM FERRO GALVANIZADO, DN 25 (1"), CONEXÃO ROSQUEADA, INSTALADO EM REDE DE ALIMENTAÇÃO PARA HIDRANTE - FORNECIMENTO E INSTALAÇÃO. AF_10/2020</v>
      </c>
      <c r="E150" s="42" t="s">
        <v>7</v>
      </c>
      <c r="F150" s="42">
        <v>5</v>
      </c>
      <c r="G150" s="43" t="str">
        <f>[2]planilhanull!$K$4151</f>
        <v>43,21</v>
      </c>
      <c r="H150" s="42">
        <f t="shared" si="11"/>
        <v>216.05</v>
      </c>
      <c r="I150" s="159">
        <f t="shared" si="12"/>
        <v>266.5</v>
      </c>
    </row>
    <row r="151" spans="1:11" ht="55" customHeight="1" outlineLevel="1" x14ac:dyDescent="0.35">
      <c r="A151" s="160" t="s">
        <v>355</v>
      </c>
      <c r="B151" s="164" t="s">
        <v>25</v>
      </c>
      <c r="C151" s="164">
        <v>92383</v>
      </c>
      <c r="D151" s="182" t="str">
        <f>[2]planilhanull!$H$4152</f>
        <v>JOELHO 45 GRAUS, EM FERRO GALVANIZADO, DN 32 (1 1/4"), CONEXÃO ROSQUEADA, INSTALADO EM REDE DE ALIMENTAÇÃO PARA HIDRANTE - FORNECIMENTO E INSTALAÇÃO. AF_10/2020</v>
      </c>
      <c r="E151" s="165" t="s">
        <v>7</v>
      </c>
      <c r="F151" s="165">
        <v>5</v>
      </c>
      <c r="G151" s="166" t="str">
        <f>[2]planilhanull!$K$4152</f>
        <v>58,15</v>
      </c>
      <c r="H151" s="165">
        <f t="shared" ref="H151:H183" si="13">ROUND(F151*G151,2)</f>
        <v>290.75</v>
      </c>
      <c r="I151" s="167">
        <f t="shared" si="12"/>
        <v>358.64</v>
      </c>
    </row>
    <row r="152" spans="1:11" ht="55" customHeight="1" outlineLevel="1" x14ac:dyDescent="0.35">
      <c r="A152" s="40" t="s">
        <v>356</v>
      </c>
      <c r="B152" s="40" t="s">
        <v>25</v>
      </c>
      <c r="C152" s="40">
        <v>92384</v>
      </c>
      <c r="D152" s="52" t="str">
        <f>[2]planilhanull!$H$4153</f>
        <v>JOELHO 90 GRAUS, EM FERRO GALVANIZADO, DN 32 (1 1/4"), CONEXÃO ROSQUEADA, INSTALADO EM REDE DE ALIMENTAÇÃO PARA HIDRANTE - FORNECIMENTO E INSTALAÇÃO. AF_10/2020</v>
      </c>
      <c r="E152" s="42" t="s">
        <v>7</v>
      </c>
      <c r="F152" s="42">
        <v>5</v>
      </c>
      <c r="G152" s="43" t="str">
        <f>[2]planilhanull!$K$4153</f>
        <v>53,77</v>
      </c>
      <c r="H152" s="42">
        <f t="shared" si="13"/>
        <v>268.85000000000002</v>
      </c>
      <c r="I152" s="159">
        <f t="shared" ref="I152:I183" si="14">ROUND(H152*(1+$I$9),2)</f>
        <v>331.63</v>
      </c>
    </row>
    <row r="153" spans="1:11" s="187" customFormat="1" ht="55" customHeight="1" outlineLevel="1" x14ac:dyDescent="0.35">
      <c r="A153" s="160" t="s">
        <v>357</v>
      </c>
      <c r="B153" s="164" t="s">
        <v>25</v>
      </c>
      <c r="C153" s="164">
        <v>92385</v>
      </c>
      <c r="D153" s="182" t="str">
        <f>[2]planilhanull!$H$4154</f>
        <v>JOELHO 45 GRAUS, EM FERRO GALVANIZADO, DN 40 (1 1/2"), CONEXÃO ROSQUEADA, INSTALADO EM REDE DE ALIMENTAÇÃO PARA HIDRANTE - FORNECIMENTO E INSTALAÇÃO. AF_10/2020</v>
      </c>
      <c r="E153" s="165" t="s">
        <v>7</v>
      </c>
      <c r="F153" s="165">
        <v>5</v>
      </c>
      <c r="G153" s="166" t="str">
        <f>[2]planilhanull!$K$4154</f>
        <v>66,96</v>
      </c>
      <c r="H153" s="165">
        <f t="shared" si="13"/>
        <v>334.8</v>
      </c>
      <c r="I153" s="167">
        <f t="shared" si="14"/>
        <v>412.98</v>
      </c>
      <c r="J153" s="3"/>
      <c r="K153" s="4"/>
    </row>
    <row r="154" spans="1:11" s="187" customFormat="1" ht="55" customHeight="1" outlineLevel="1" x14ac:dyDescent="0.35">
      <c r="A154" s="40" t="s">
        <v>358</v>
      </c>
      <c r="B154" s="40" t="s">
        <v>25</v>
      </c>
      <c r="C154" s="40">
        <v>92386</v>
      </c>
      <c r="D154" s="52" t="str">
        <f>[2]planilhanull!$H$4155</f>
        <v>JOELHO 90 GRAUS, EM FERRO GALVANIZADO, DN 40 (1 1/2"), CONEXÃO ROSQUEADA, INSTALADO EM REDE DE ALIMENTAÇÃO PARA HIDRANTE - FORNECIMENTO E INSTALAÇÃO. AF_10/2020</v>
      </c>
      <c r="E154" s="42" t="s">
        <v>7</v>
      </c>
      <c r="F154" s="42">
        <v>5</v>
      </c>
      <c r="G154" s="43" t="str">
        <f>[2]planilhanull!$K$4155</f>
        <v>63,94</v>
      </c>
      <c r="H154" s="42">
        <f t="shared" si="13"/>
        <v>319.7</v>
      </c>
      <c r="I154" s="159">
        <f t="shared" si="14"/>
        <v>394.35</v>
      </c>
      <c r="J154" s="3"/>
      <c r="K154" s="4"/>
    </row>
    <row r="155" spans="1:11" s="187" customFormat="1" ht="55" customHeight="1" outlineLevel="1" x14ac:dyDescent="0.35">
      <c r="A155" s="160" t="s">
        <v>359</v>
      </c>
      <c r="B155" s="164" t="s">
        <v>25</v>
      </c>
      <c r="C155" s="164">
        <v>92387</v>
      </c>
      <c r="D155" s="182" t="str">
        <f>[2]planilhanull!$H$4156</f>
        <v>JOELHO 45 GRAUS, EM FERRO GALVANIZADO, DN 50 (2"), CONEXÃO ROSQUEADA, INSTALADO EM REDE DE ALIMENTAÇÃO PARA HIDRANTE - FORNECIMENTO E INSTALAÇÃO. AF_10/2020</v>
      </c>
      <c r="E155" s="165" t="s">
        <v>7</v>
      </c>
      <c r="F155" s="165">
        <v>5</v>
      </c>
      <c r="G155" s="166" t="str">
        <f>[2]planilhanull!$K$4156</f>
        <v>85,39</v>
      </c>
      <c r="H155" s="165">
        <f t="shared" si="13"/>
        <v>426.95</v>
      </c>
      <c r="I155" s="167">
        <f t="shared" si="14"/>
        <v>526.64</v>
      </c>
      <c r="J155" s="3"/>
      <c r="K155" s="4"/>
    </row>
    <row r="156" spans="1:11" s="187" customFormat="1" ht="55" customHeight="1" outlineLevel="1" x14ac:dyDescent="0.35">
      <c r="A156" s="40" t="s">
        <v>360</v>
      </c>
      <c r="B156" s="40" t="s">
        <v>25</v>
      </c>
      <c r="C156" s="40">
        <v>92388</v>
      </c>
      <c r="D156" s="52" t="str">
        <f>[2]planilhanull!$H$4157</f>
        <v>JOELHO 90 GRAUS, EM FERRO GALVANIZADO, DN 50 (2"), CONEXÃO ROSQUEADA, INSTALADO EM REDE DE ALIMENTAÇÃO PARA HIDRANTE - FORNECIMENTO E INSTALAÇÃO. AF_10/2020</v>
      </c>
      <c r="E156" s="42" t="s">
        <v>7</v>
      </c>
      <c r="F156" s="42">
        <v>5</v>
      </c>
      <c r="G156" s="43" t="str">
        <f>[2]planilhanull!$K$4157</f>
        <v>83,34</v>
      </c>
      <c r="H156" s="42">
        <f t="shared" si="13"/>
        <v>416.7</v>
      </c>
      <c r="I156" s="159">
        <f t="shared" si="14"/>
        <v>514</v>
      </c>
      <c r="J156" s="3"/>
      <c r="K156" s="4"/>
    </row>
    <row r="157" spans="1:11" s="187" customFormat="1" ht="55" customHeight="1" outlineLevel="1" x14ac:dyDescent="0.35">
      <c r="A157" s="160" t="s">
        <v>361</v>
      </c>
      <c r="B157" s="164" t="s">
        <v>25</v>
      </c>
      <c r="C157" s="164">
        <v>92389</v>
      </c>
      <c r="D157" s="182" t="str">
        <f>[2]planilhanull!$H$4158</f>
        <v>JOELHO 45 GRAUS, EM FERRO GALVANIZADO, DN 65 (2 1/2"), CONEXÃO ROSQUEADA, INSTALADO EM REDE DE ALIMENTAÇÃO PARA HIDRANTE - FORNECIMENTO E INSTALAÇÃO. AF_10/2020</v>
      </c>
      <c r="E157" s="165" t="s">
        <v>7</v>
      </c>
      <c r="F157" s="165">
        <v>5</v>
      </c>
      <c r="G157" s="166" t="str">
        <f>[2]planilhanull!$K$4158</f>
        <v>134,68</v>
      </c>
      <c r="H157" s="165">
        <f t="shared" si="13"/>
        <v>673.4</v>
      </c>
      <c r="I157" s="167">
        <f t="shared" si="14"/>
        <v>830.64</v>
      </c>
      <c r="J157" s="3"/>
      <c r="K157" s="4"/>
    </row>
    <row r="158" spans="1:11" s="187" customFormat="1" ht="55" customHeight="1" outlineLevel="1" x14ac:dyDescent="0.35">
      <c r="A158" s="40" t="s">
        <v>362</v>
      </c>
      <c r="B158" s="40" t="s">
        <v>25</v>
      </c>
      <c r="C158" s="40">
        <v>92390</v>
      </c>
      <c r="D158" s="52" t="str">
        <f>[2]planilhanull!$H$4159</f>
        <v>JOELHO 90 GRAUS, EM FERRO GALVANIZADO, DN 65 (2 1/2"), CONEXÃO ROSQUEADA, INSTALADO EM REDE DE ALIMENTAÇÃO PARA HIDRANTE - FORNECIMENTO E INSTALAÇÃO. AF_10/2020</v>
      </c>
      <c r="E158" s="42" t="s">
        <v>7</v>
      </c>
      <c r="F158" s="42">
        <v>5</v>
      </c>
      <c r="G158" s="43" t="str">
        <f>[2]planilhanull!$K$4159</f>
        <v>125,66</v>
      </c>
      <c r="H158" s="42">
        <f t="shared" si="13"/>
        <v>628.29999999999995</v>
      </c>
      <c r="I158" s="159">
        <f t="shared" si="14"/>
        <v>775.01</v>
      </c>
      <c r="J158" s="3"/>
      <c r="K158" s="4"/>
    </row>
    <row r="159" spans="1:11" s="187" customFormat="1" ht="55" customHeight="1" outlineLevel="1" x14ac:dyDescent="0.35">
      <c r="A159" s="160" t="s">
        <v>363</v>
      </c>
      <c r="B159" s="164" t="s">
        <v>25</v>
      </c>
      <c r="C159" s="164">
        <v>92635</v>
      </c>
      <c r="D159" s="182" t="str">
        <f>[2]planilhanull!$H$4160</f>
        <v>JOELHO 45 GRAUS, EM FERRO GALVANIZADO, CONEXÃO ROSQUEADA, DN 80 (3"), INSTALADO EM REDE DE ALIMENTAÇÃO PARA HIDRANTE - FORNECIMENTO E INSTALAÇÃO. AF_10/2020</v>
      </c>
      <c r="E159" s="165" t="s">
        <v>7</v>
      </c>
      <c r="F159" s="165">
        <v>5</v>
      </c>
      <c r="G159" s="166" t="str">
        <f>[2]planilhanull!$K$4160</f>
        <v>182,04</v>
      </c>
      <c r="H159" s="165">
        <f t="shared" si="13"/>
        <v>910.2</v>
      </c>
      <c r="I159" s="167">
        <f t="shared" si="14"/>
        <v>1122.73</v>
      </c>
      <c r="J159" s="3"/>
      <c r="K159" s="4"/>
    </row>
    <row r="160" spans="1:11" s="187" customFormat="1" ht="55" customHeight="1" outlineLevel="1" x14ac:dyDescent="0.35">
      <c r="A160" s="40" t="s">
        <v>364</v>
      </c>
      <c r="B160" s="40" t="s">
        <v>25</v>
      </c>
      <c r="C160" s="40">
        <v>92636</v>
      </c>
      <c r="D160" s="52" t="str">
        <f>[2]planilhanull!$H$4161</f>
        <v>JOELHO 90 GRAUS, EM FERRO GALVANIZADO, CONEXÃO ROSQUEADA, DN 80 (3"), INSTALADO EM REDE DE ALIMENTAÇÃO PARA HIDRANTE - FORNECIMENTO E INSTALAÇÃO. AF_10/2020</v>
      </c>
      <c r="E160" s="42" t="s">
        <v>7</v>
      </c>
      <c r="F160" s="42">
        <v>5</v>
      </c>
      <c r="G160" s="43" t="str">
        <f>[2]planilhanull!$K$4161</f>
        <v>164,65</v>
      </c>
      <c r="H160" s="42">
        <f t="shared" si="13"/>
        <v>823.25</v>
      </c>
      <c r="I160" s="159">
        <f t="shared" si="14"/>
        <v>1015.48</v>
      </c>
      <c r="J160" s="3"/>
      <c r="K160" s="4"/>
    </row>
    <row r="161" spans="1:11" s="187" customFormat="1" ht="55" customHeight="1" outlineLevel="1" x14ac:dyDescent="0.35">
      <c r="A161" s="160" t="s">
        <v>365</v>
      </c>
      <c r="B161" s="164" t="s">
        <v>25</v>
      </c>
      <c r="C161" s="164">
        <v>92637</v>
      </c>
      <c r="D161" s="182" t="str">
        <f>[2]planilhanull!$H$4162</f>
        <v>TÊ, EM FERRO GALVANIZADO, CONEXÃO ROSQUEADA, DN 25 (1"), INSTALADO EM REDE DE ALIMENTAÇÃO PARA HIDRANTE - FORNECIMENTO E INSTALAÇÃO. AF_10/2020</v>
      </c>
      <c r="E161" s="165" t="s">
        <v>7</v>
      </c>
      <c r="F161" s="165">
        <v>5</v>
      </c>
      <c r="G161" s="166" t="str">
        <f>[2]planilhanull!$K$4162</f>
        <v>58,45</v>
      </c>
      <c r="H161" s="165">
        <f t="shared" si="13"/>
        <v>292.25</v>
      </c>
      <c r="I161" s="167">
        <f t="shared" si="14"/>
        <v>360.49</v>
      </c>
      <c r="J161" s="3"/>
      <c r="K161" s="4"/>
    </row>
    <row r="162" spans="1:11" s="187" customFormat="1" ht="55" customHeight="1" outlineLevel="1" x14ac:dyDescent="0.35">
      <c r="A162" s="40" t="s">
        <v>366</v>
      </c>
      <c r="B162" s="40" t="s">
        <v>25</v>
      </c>
      <c r="C162" s="40">
        <v>92638</v>
      </c>
      <c r="D162" s="52" t="str">
        <f>[2]planilhanull!$H$4163</f>
        <v>TÊ, EM FERRO GALVANIZADO, CONEXÃO ROSQUEADA, DN 32 (1 1/4"), INSTALADO EM REDE DE ALIMENTAÇÃO PARA HIDRANTE - FORNECIMENTO E INSTALAÇÃO. AF_10/2020</v>
      </c>
      <c r="E162" s="42" t="s">
        <v>7</v>
      </c>
      <c r="F162" s="42">
        <v>5</v>
      </c>
      <c r="G162" s="43" t="str">
        <f>[2]planilhanull!$K$4163</f>
        <v>72,22</v>
      </c>
      <c r="H162" s="42">
        <f t="shared" si="13"/>
        <v>361.1</v>
      </c>
      <c r="I162" s="159">
        <f t="shared" si="14"/>
        <v>445.42</v>
      </c>
      <c r="J162" s="3"/>
      <c r="K162" s="4"/>
    </row>
    <row r="163" spans="1:11" s="187" customFormat="1" ht="55" customHeight="1" outlineLevel="1" x14ac:dyDescent="0.35">
      <c r="A163" s="160" t="s">
        <v>367</v>
      </c>
      <c r="B163" s="164" t="s">
        <v>25</v>
      </c>
      <c r="C163" s="164">
        <v>92639</v>
      </c>
      <c r="D163" s="182" t="str">
        <f>[2]planilhanull!$H$4164</f>
        <v>TÊ, EM FERRO GALVANIZADO, CONEXÃO ROSQUEADA, DN 40 (1 1/2"), INSTALADO EM REDE DE ALIMENTAÇÃO PARA HIDRANTE - FORNECIMENTO E INSTALAÇÃO. AF_10/2020</v>
      </c>
      <c r="E163" s="165" t="s">
        <v>7</v>
      </c>
      <c r="F163" s="165">
        <v>5</v>
      </c>
      <c r="G163" s="166" t="str">
        <f>[2]planilhanull!$K$4164</f>
        <v>84,09</v>
      </c>
      <c r="H163" s="165">
        <f t="shared" si="13"/>
        <v>420.45</v>
      </c>
      <c r="I163" s="167">
        <f t="shared" si="14"/>
        <v>518.63</v>
      </c>
      <c r="J163" s="3"/>
      <c r="K163" s="4"/>
    </row>
    <row r="164" spans="1:11" s="187" customFormat="1" ht="55" customHeight="1" outlineLevel="1" x14ac:dyDescent="0.35">
      <c r="A164" s="40" t="s">
        <v>368</v>
      </c>
      <c r="B164" s="40" t="s">
        <v>25</v>
      </c>
      <c r="C164" s="40">
        <v>92640</v>
      </c>
      <c r="D164" s="52" t="str">
        <f>[2]planilhanull!$H$4165</f>
        <v>TÊ, EM FERRO GALVANIZADO, CONEXÃO ROSQUEADA, DN 50 (2"), INSTALADO EM REDE DE ALIMENTAÇÃO PARA HIDRANTE - FORNECIMENTO E INSTALAÇÃO. AF_10/2020</v>
      </c>
      <c r="E164" s="42" t="s">
        <v>7</v>
      </c>
      <c r="F164" s="42">
        <v>5</v>
      </c>
      <c r="G164" s="43" t="str">
        <f>[2]planilhanull!$K$4165</f>
        <v>111,07</v>
      </c>
      <c r="H164" s="42">
        <f t="shared" si="13"/>
        <v>555.35</v>
      </c>
      <c r="I164" s="159">
        <f t="shared" si="14"/>
        <v>685.02</v>
      </c>
      <c r="J164" s="3"/>
      <c r="K164" s="4"/>
    </row>
    <row r="165" spans="1:11" s="187" customFormat="1" ht="55" customHeight="1" outlineLevel="1" x14ac:dyDescent="0.35">
      <c r="A165" s="160" t="s">
        <v>369</v>
      </c>
      <c r="B165" s="164" t="s">
        <v>25</v>
      </c>
      <c r="C165" s="164">
        <v>92642</v>
      </c>
      <c r="D165" s="182" t="str">
        <f>[2]planilhanull!$H$4166</f>
        <v>TÊ, EM FERRO GALVANIZADO, CONEXÃO ROSQUEADA, DN 65 (2 1/2"), INSTALADO EM REDE DE ALIMENTAÇÃO PARA HIDRANTE - FORNECIMENTO E INSTALAÇÃO. AF_10/2020</v>
      </c>
      <c r="E165" s="165" t="s">
        <v>7</v>
      </c>
      <c r="F165" s="165">
        <v>5</v>
      </c>
      <c r="G165" s="166" t="str">
        <f>[2]planilhanull!$K$4166</f>
        <v>172,02</v>
      </c>
      <c r="H165" s="165">
        <f t="shared" si="13"/>
        <v>860.1</v>
      </c>
      <c r="I165" s="167">
        <f t="shared" si="14"/>
        <v>1060.93</v>
      </c>
      <c r="J165" s="3"/>
      <c r="K165" s="4"/>
    </row>
    <row r="166" spans="1:11" s="187" customFormat="1" ht="55" customHeight="1" outlineLevel="1" x14ac:dyDescent="0.35">
      <c r="A166" s="40" t="s">
        <v>370</v>
      </c>
      <c r="B166" s="40" t="s">
        <v>25</v>
      </c>
      <c r="C166" s="40">
        <v>92644</v>
      </c>
      <c r="D166" s="52" t="str">
        <f>[2]planilhanull!$H$4167</f>
        <v>TÊ, EM FERRO GALVANIZADO, CONEXÃO ROSQUEADA, DN 80 (3"), INSTALADO EM REDE DE ALIMENTAÇÃO PARA HIDRANTE - FORNECIMENTO E INSTALAÇÃO. AF_10/2020</v>
      </c>
      <c r="E166" s="42" t="s">
        <v>7</v>
      </c>
      <c r="F166" s="42">
        <v>5</v>
      </c>
      <c r="G166" s="43" t="str">
        <f>[2]planilhanull!$K$4167</f>
        <v>217,86</v>
      </c>
      <c r="H166" s="42">
        <f t="shared" si="13"/>
        <v>1089.3</v>
      </c>
      <c r="I166" s="159">
        <f t="shared" si="14"/>
        <v>1343.65</v>
      </c>
      <c r="J166" s="3"/>
      <c r="K166" s="4"/>
    </row>
    <row r="167" spans="1:11" s="187" customFormat="1" ht="55" customHeight="1" outlineLevel="1" x14ac:dyDescent="0.35">
      <c r="A167" s="160" t="s">
        <v>371</v>
      </c>
      <c r="B167" s="164" t="s">
        <v>25</v>
      </c>
      <c r="C167" s="164">
        <v>92658</v>
      </c>
      <c r="D167" s="182" t="str">
        <f>[2]planilhanull!$H$4169</f>
        <v>LUVA, EM FERRO GALVANIZADO, CONEXÃO ROSQUEADA, DN 25 (1"), INSTALADO EM REDE DE ALIMENTAÇÃO PARA SPRINKLER - FORNECIMENTO E INSTALAÇÃO. AF_10/2020</v>
      </c>
      <c r="E167" s="165" t="s">
        <v>7</v>
      </c>
      <c r="F167" s="165">
        <v>5</v>
      </c>
      <c r="G167" s="166" t="str">
        <f>[2]planilhanull!$K$4169</f>
        <v>24,16</v>
      </c>
      <c r="H167" s="165">
        <f t="shared" si="13"/>
        <v>120.8</v>
      </c>
      <c r="I167" s="167">
        <f t="shared" si="14"/>
        <v>149.01</v>
      </c>
      <c r="J167" s="3"/>
      <c r="K167" s="4"/>
    </row>
    <row r="168" spans="1:11" s="187" customFormat="1" ht="55" customHeight="1" outlineLevel="1" x14ac:dyDescent="0.35">
      <c r="A168" s="40" t="s">
        <v>372</v>
      </c>
      <c r="B168" s="40" t="s">
        <v>25</v>
      </c>
      <c r="C168" s="40" t="str">
        <f>[2]planilhanull!$G$4171</f>
        <v>92660</v>
      </c>
      <c r="D168" s="52" t="str">
        <f>[2]planilhanull!$H$4171</f>
        <v>LUVA, EM FERRO GALVANIZADO, CONEXÃO ROSQUEADA, DN 32 (1 1/4"), INSTALADO EM REDE DE ALIMENTAÇÃO PARA SPRINKLER - FORNECIMENTO E INSTALAÇÃO. AF_10/2020</v>
      </c>
      <c r="E168" s="42" t="s">
        <v>7</v>
      </c>
      <c r="F168" s="42">
        <v>5</v>
      </c>
      <c r="G168" s="43" t="str">
        <f>[2]planilhanull!$K$4171</f>
        <v>29,71</v>
      </c>
      <c r="H168" s="42">
        <f t="shared" si="13"/>
        <v>148.55000000000001</v>
      </c>
      <c r="I168" s="159">
        <f t="shared" si="14"/>
        <v>183.24</v>
      </c>
      <c r="J168" s="3"/>
      <c r="K168" s="4"/>
    </row>
    <row r="169" spans="1:11" s="187" customFormat="1" ht="55" customHeight="1" outlineLevel="1" x14ac:dyDescent="0.35">
      <c r="A169" s="160" t="s">
        <v>373</v>
      </c>
      <c r="B169" s="164" t="s">
        <v>25</v>
      </c>
      <c r="C169" s="164" t="str">
        <f>[2]planilhanull!$G$4173</f>
        <v>92662</v>
      </c>
      <c r="D169" s="182" t="str">
        <f>[2]planilhanull!$H$4173</f>
        <v>LUVA, EM FERRO GALVANIZADO, CONEXÃO ROSQUEADA, DN 40 (1 1/2"), INSTALADO EM REDE DE ALIMENTAÇÃO PARA SPRINKLER - FORNECIMENTO E INSTALAÇÃO. AF_10/2020</v>
      </c>
      <c r="E169" s="165" t="s">
        <v>7</v>
      </c>
      <c r="F169" s="165">
        <v>5</v>
      </c>
      <c r="G169" s="166" t="str">
        <f>[2]planilhanull!$K$4173</f>
        <v>34,29</v>
      </c>
      <c r="H169" s="165">
        <f t="shared" si="13"/>
        <v>171.45</v>
      </c>
      <c r="I169" s="167">
        <f t="shared" si="14"/>
        <v>211.48</v>
      </c>
      <c r="J169" s="3"/>
      <c r="K169" s="4"/>
    </row>
    <row r="170" spans="1:11" s="187" customFormat="1" ht="55" customHeight="1" outlineLevel="1" x14ac:dyDescent="0.35">
      <c r="A170" s="40" t="s">
        <v>374</v>
      </c>
      <c r="B170" s="40" t="s">
        <v>25</v>
      </c>
      <c r="C170" s="40" t="str">
        <f>[2]planilhanull!$G$4175</f>
        <v>92664</v>
      </c>
      <c r="D170" s="52" t="str">
        <f>[2]planilhanull!$H$4175</f>
        <v>LUVA, EM FERRO GALVANIZADO, CONEXÃO ROSQUEADA, DN 50 (2"), INSTALADO EM REDE DE ALIMENTAÇÃO PARA SPRINKLER - FORNECIMENTO E INSTALAÇÃO. AF_10/2020</v>
      </c>
      <c r="E170" s="42" t="s">
        <v>7</v>
      </c>
      <c r="F170" s="42">
        <v>5</v>
      </c>
      <c r="G170" s="43" t="str">
        <f>[2]planilhanull!$K$4175</f>
        <v>46,32</v>
      </c>
      <c r="H170" s="42">
        <f t="shared" si="13"/>
        <v>231.6</v>
      </c>
      <c r="I170" s="159">
        <f t="shared" si="14"/>
        <v>285.68</v>
      </c>
      <c r="J170" s="3"/>
      <c r="K170" s="4"/>
    </row>
    <row r="171" spans="1:11" s="187" customFormat="1" ht="55" customHeight="1" outlineLevel="1" x14ac:dyDescent="0.35">
      <c r="A171" s="160" t="s">
        <v>375</v>
      </c>
      <c r="B171" s="164" t="s">
        <v>25</v>
      </c>
      <c r="C171" s="164" t="str">
        <f>[2]planilhanull!$G$4177</f>
        <v>92666</v>
      </c>
      <c r="D171" s="182" t="str">
        <f>[2]planilhanull!$H$4177</f>
        <v>LUVA, EM FERRO GALVANIZADO, CONEXÃO ROSQUEADA, DN 65 (2 1/2"), INSTALADO EM REDE DE ALIMENTAÇÃO PARA SPRINKLER - FORNECIMENTO E INSTALAÇÃO. AF_10/2020</v>
      </c>
      <c r="E171" s="165" t="s">
        <v>7</v>
      </c>
      <c r="F171" s="165">
        <v>5</v>
      </c>
      <c r="G171" s="166" t="str">
        <f>[2]planilhanull!$K$4177</f>
        <v>73,85</v>
      </c>
      <c r="H171" s="165">
        <f t="shared" si="13"/>
        <v>369.25</v>
      </c>
      <c r="I171" s="167">
        <f t="shared" si="14"/>
        <v>455.47</v>
      </c>
      <c r="J171" s="3"/>
      <c r="K171" s="4"/>
    </row>
    <row r="172" spans="1:11" s="187" customFormat="1" ht="55" customHeight="1" outlineLevel="1" x14ac:dyDescent="0.35">
      <c r="A172" s="40" t="s">
        <v>376</v>
      </c>
      <c r="B172" s="40" t="s">
        <v>25</v>
      </c>
      <c r="C172" s="40">
        <v>92669</v>
      </c>
      <c r="D172" s="52" t="str">
        <f>[2]planilhanull!$H$4180</f>
        <v>JOELHO 45 GRAUS, EM FERRO GALVANIZADO, CONEXÃO ROSQUEADA, DN 25 (1"), INSTALADO EM REDE DE ALIMENTAÇÃO PARA SPRINKLER - FORNECIMENTO E INSTALAÇÃO. AF_10/2020</v>
      </c>
      <c r="E172" s="42" t="s">
        <v>7</v>
      </c>
      <c r="F172" s="42">
        <v>5</v>
      </c>
      <c r="G172" s="43" t="str">
        <f>[2]planilhanull!$K$4180</f>
        <v>34,22</v>
      </c>
      <c r="H172" s="42">
        <f t="shared" si="13"/>
        <v>171.1</v>
      </c>
      <c r="I172" s="159">
        <f t="shared" si="14"/>
        <v>211.05</v>
      </c>
      <c r="J172" s="3"/>
      <c r="K172" s="4"/>
    </row>
    <row r="173" spans="1:11" s="187" customFormat="1" ht="55" customHeight="1" outlineLevel="1" x14ac:dyDescent="0.35">
      <c r="A173" s="160" t="s">
        <v>377</v>
      </c>
      <c r="B173" s="164" t="s">
        <v>25</v>
      </c>
      <c r="C173" s="164">
        <v>92670</v>
      </c>
      <c r="D173" s="182" t="str">
        <f>[2]planilhanull!$H$4181</f>
        <v>JOELHO 90 GRAUS, EM FERRO GALVANIZADO, CONEXÃO ROSQUEADA, DN 25 (1"), INSTALADO EM REDE DE ALIMENTAÇÃO PARA SPRINKLER - FORNECIMENTO E INSTALAÇÃO. AF_10/2020</v>
      </c>
      <c r="E173" s="165" t="s">
        <v>7</v>
      </c>
      <c r="F173" s="165">
        <v>5</v>
      </c>
      <c r="G173" s="166" t="str">
        <f>[2]planilhanull!$K$4181</f>
        <v>32,02</v>
      </c>
      <c r="H173" s="165">
        <f t="shared" si="13"/>
        <v>160.1</v>
      </c>
      <c r="I173" s="167">
        <f t="shared" si="14"/>
        <v>197.48</v>
      </c>
      <c r="J173" s="3"/>
      <c r="K173" s="4"/>
    </row>
    <row r="174" spans="1:11" s="187" customFormat="1" ht="55" customHeight="1" outlineLevel="1" x14ac:dyDescent="0.35">
      <c r="A174" s="40" t="s">
        <v>378</v>
      </c>
      <c r="B174" s="40" t="s">
        <v>25</v>
      </c>
      <c r="C174" s="40">
        <v>92671</v>
      </c>
      <c r="D174" s="52" t="str">
        <f>[2]planilhanull!$H$4182</f>
        <v>JOELHO 45 GRAUS, EM FERRO GALVANIZADO, CONEXÃO ROSQUEADA, DN 32 (1 1/4"), INSTALADO EM REDE DE ALIMENTAÇÃO PARA SPRINKLER - FORNECIMENTO E INSTALAÇÃO. AF_10/2020</v>
      </c>
      <c r="E174" s="42" t="s">
        <v>7</v>
      </c>
      <c r="F174" s="42">
        <v>5</v>
      </c>
      <c r="G174" s="43" t="str">
        <f>[2]planilhanull!$K$4182</f>
        <v>45,45</v>
      </c>
      <c r="H174" s="42">
        <f t="shared" si="13"/>
        <v>227.25</v>
      </c>
      <c r="I174" s="159">
        <f t="shared" si="14"/>
        <v>280.31</v>
      </c>
      <c r="J174" s="3"/>
      <c r="K174" s="4"/>
    </row>
    <row r="175" spans="1:11" s="187" customFormat="1" ht="55" customHeight="1" outlineLevel="1" x14ac:dyDescent="0.35">
      <c r="A175" s="160" t="s">
        <v>379</v>
      </c>
      <c r="B175" s="164" t="s">
        <v>25</v>
      </c>
      <c r="C175" s="164">
        <v>92672</v>
      </c>
      <c r="D175" s="182" t="str">
        <f>[2]planilhanull!$H$4183</f>
        <v>JOELHO 90 GRAUS, EM FERRO GALVANIZADO, CONEXÃO ROSQUEADA, DN 32 (1 1/4"), INSTALADO EM REDE DE ALIMENTAÇÃO PARA SPRINKLER - FORNECIMENTO E INSTALAÇÃO. AF_10/2020</v>
      </c>
      <c r="E175" s="165" t="s">
        <v>7</v>
      </c>
      <c r="F175" s="165">
        <v>5</v>
      </c>
      <c r="G175" s="166" t="str">
        <f>[2]planilhanull!$K$4183</f>
        <v>41,07</v>
      </c>
      <c r="H175" s="165">
        <f t="shared" si="13"/>
        <v>205.35</v>
      </c>
      <c r="I175" s="167">
        <f t="shared" si="14"/>
        <v>253.3</v>
      </c>
      <c r="J175" s="3"/>
      <c r="K175" s="4"/>
    </row>
    <row r="176" spans="1:11" s="187" customFormat="1" ht="55" customHeight="1" outlineLevel="1" x14ac:dyDescent="0.35">
      <c r="A176" s="40" t="s">
        <v>380</v>
      </c>
      <c r="B176" s="40" t="s">
        <v>25</v>
      </c>
      <c r="C176" s="40">
        <v>92673</v>
      </c>
      <c r="D176" s="52" t="str">
        <f>[2]planilhanull!$H$4184</f>
        <v>JOELHO 45 GRAUS, EM FERRO GALVANIZADO, CONEXÃO ROSQUEADA, DN 40 (1 1/2"), INSTALADO EM REDE DE ALIMENTAÇÃO PARA SPRINKLER - FORNECIMENTO E INSTALAÇÃO. AF_10/2020</v>
      </c>
      <c r="E176" s="42" t="s">
        <v>7</v>
      </c>
      <c r="F176" s="42">
        <v>5</v>
      </c>
      <c r="G176" s="43" t="str">
        <f>[2]planilhanull!$K$4184</f>
        <v>52,50</v>
      </c>
      <c r="H176" s="42">
        <f t="shared" si="13"/>
        <v>262.5</v>
      </c>
      <c r="I176" s="159">
        <f t="shared" si="14"/>
        <v>323.79000000000002</v>
      </c>
      <c r="J176" s="3"/>
      <c r="K176" s="4"/>
    </row>
    <row r="177" spans="1:11" s="187" customFormat="1" ht="55" customHeight="1" outlineLevel="1" x14ac:dyDescent="0.35">
      <c r="A177" s="160" t="s">
        <v>381</v>
      </c>
      <c r="B177" s="164" t="s">
        <v>25</v>
      </c>
      <c r="C177" s="164">
        <v>92674</v>
      </c>
      <c r="D177" s="182" t="str">
        <f>[2]planilhanull!$H$4185</f>
        <v>JOELHO 90 GRAUS, EM FERRO GALVANIZADO, CONEXÃO ROSQUEADA, DN 40 (1 1/2"), INSTALADO EM REDE DE ALIMENTAÇÃO PARA SPRINKLER - FORNECIMENTO E INSTALAÇÃO. AF_10/2020</v>
      </c>
      <c r="E177" s="165" t="s">
        <v>7</v>
      </c>
      <c r="F177" s="165">
        <v>5</v>
      </c>
      <c r="G177" s="166" t="str">
        <f>[2]planilhanull!$K$4185</f>
        <v>49,48</v>
      </c>
      <c r="H177" s="165">
        <f t="shared" si="13"/>
        <v>247.4</v>
      </c>
      <c r="I177" s="167">
        <f t="shared" si="14"/>
        <v>305.17</v>
      </c>
      <c r="J177" s="3"/>
      <c r="K177" s="4"/>
    </row>
    <row r="178" spans="1:11" s="187" customFormat="1" ht="55" customHeight="1" outlineLevel="1" x14ac:dyDescent="0.35">
      <c r="A178" s="40" t="s">
        <v>382</v>
      </c>
      <c r="B178" s="40" t="s">
        <v>25</v>
      </c>
      <c r="C178" s="40">
        <v>92675</v>
      </c>
      <c r="D178" s="52" t="str">
        <f>[2]planilhanull!$H$4186</f>
        <v>JOELHO 45 GRAUS, EM FERRO GALVANIZADO, CONEXÃO ROSQUEADA, DN 50 (2"), INSTALADO EM REDE DE ALIMENTAÇÃO PARA SPRINKLER - FORNECIMENTO E INSTALAÇÃO. AF_10/2020</v>
      </c>
      <c r="E178" s="42" t="s">
        <v>7</v>
      </c>
      <c r="F178" s="42">
        <v>5</v>
      </c>
      <c r="G178" s="43" t="str">
        <f>[2]planilhanull!$K$4186</f>
        <v>68,76</v>
      </c>
      <c r="H178" s="42">
        <f t="shared" si="13"/>
        <v>343.8</v>
      </c>
      <c r="I178" s="159">
        <f t="shared" si="14"/>
        <v>424.08</v>
      </c>
      <c r="J178" s="3"/>
      <c r="K178" s="4"/>
    </row>
    <row r="179" spans="1:11" s="187" customFormat="1" ht="55" customHeight="1" outlineLevel="1" x14ac:dyDescent="0.35">
      <c r="A179" s="160" t="s">
        <v>383</v>
      </c>
      <c r="B179" s="164" t="s">
        <v>25</v>
      </c>
      <c r="C179" s="164">
        <v>92676</v>
      </c>
      <c r="D179" s="182" t="str">
        <f>[2]planilhanull!$H$4187</f>
        <v>JOELHO 90 GRAUS, EM FERRO GALVANIZADO, CONEXÃO ROSQUEADA, DN 50 (2"), INSTALADO EM REDE DE ALIMENTAÇÃO PARA SPRINKLER - FORNECIMENTO E INSTALAÇÃO. AF_10/2020</v>
      </c>
      <c r="E179" s="165" t="s">
        <v>7</v>
      </c>
      <c r="F179" s="165">
        <v>5</v>
      </c>
      <c r="G179" s="166" t="str">
        <f>[2]planilhanull!$K$4187</f>
        <v>66,71</v>
      </c>
      <c r="H179" s="165">
        <f t="shared" si="13"/>
        <v>333.55</v>
      </c>
      <c r="I179" s="167">
        <f t="shared" si="14"/>
        <v>411.43</v>
      </c>
      <c r="J179" s="3"/>
      <c r="K179" s="4"/>
    </row>
    <row r="180" spans="1:11" s="187" customFormat="1" ht="55" customHeight="1" outlineLevel="1" x14ac:dyDescent="0.35">
      <c r="A180" s="40" t="s">
        <v>384</v>
      </c>
      <c r="B180" s="40" t="s">
        <v>25</v>
      </c>
      <c r="C180" s="40">
        <v>92677</v>
      </c>
      <c r="D180" s="52" t="str">
        <f>[2]planilhanull!$H$4188</f>
        <v>JOELHO 45 GRAUS, EM FERRO GALVANIZADO, CONEXÃO ROSQUEADA, DN 65 (2 1/2"), INSTALADO EM REDE DE ALIMENTAÇÃO PARA SPRINKLER - FORNECIMENTO E INSTALAÇÃO. AF_10/2020</v>
      </c>
      <c r="E180" s="42" t="s">
        <v>7</v>
      </c>
      <c r="F180" s="42">
        <v>5</v>
      </c>
      <c r="G180" s="43" t="str">
        <f>[2]planilhanull!$K$4188</f>
        <v>114,75</v>
      </c>
      <c r="H180" s="42">
        <f t="shared" si="13"/>
        <v>573.75</v>
      </c>
      <c r="I180" s="159">
        <f t="shared" si="14"/>
        <v>707.72</v>
      </c>
      <c r="J180" s="3"/>
      <c r="K180" s="4"/>
    </row>
    <row r="181" spans="1:11" ht="55" customHeight="1" outlineLevel="1" x14ac:dyDescent="0.35">
      <c r="A181" s="160" t="s">
        <v>385</v>
      </c>
      <c r="B181" s="164" t="s">
        <v>25</v>
      </c>
      <c r="C181" s="164">
        <v>92678</v>
      </c>
      <c r="D181" s="182" t="str">
        <f>[2]planilhanull!$H$4189</f>
        <v>JOELHO 90 GRAUS, EM FERRO GALVANIZADO, CONEXÃO ROSQUEADA, DN 65 (2 1/2"), INSTALADO EM REDE DE ALIMENTAÇÃO PARA SPRINKLER - FORNECIMENTO E INSTALAÇÃO. AF_10/2020</v>
      </c>
      <c r="E181" s="165" t="s">
        <v>7</v>
      </c>
      <c r="F181" s="165">
        <v>5</v>
      </c>
      <c r="G181" s="166" t="str">
        <f>[2]planilhanull!$K$4189</f>
        <v>105,73</v>
      </c>
      <c r="H181" s="165">
        <f t="shared" si="13"/>
        <v>528.65</v>
      </c>
      <c r="I181" s="167">
        <f t="shared" si="14"/>
        <v>652.09</v>
      </c>
    </row>
    <row r="182" spans="1:11" ht="55" customHeight="1" outlineLevel="1" x14ac:dyDescent="0.35">
      <c r="A182" s="40" t="s">
        <v>386</v>
      </c>
      <c r="B182" s="40" t="s">
        <v>25</v>
      </c>
      <c r="C182" s="40">
        <v>92681</v>
      </c>
      <c r="D182" s="52" t="str">
        <f>[2]planilhanull!$H$4192</f>
        <v>TÊ, EM FERRO GALVANIZADO, CONEXÃO ROSQUEADA, DN 25 (1"), INSTALADO EM REDE DE ALIMENTAÇÃO PARA SPRINKLER - FORNECIMENTO E INSTALAÇÃO. AF_10/2020</v>
      </c>
      <c r="E182" s="42" t="s">
        <v>7</v>
      </c>
      <c r="F182" s="42">
        <v>5</v>
      </c>
      <c r="G182" s="43" t="str">
        <f>[2]planilhanull!$K$4192</f>
        <v>43,51</v>
      </c>
      <c r="H182" s="42">
        <f t="shared" si="13"/>
        <v>217.55</v>
      </c>
      <c r="I182" s="159">
        <f t="shared" si="14"/>
        <v>268.35000000000002</v>
      </c>
    </row>
    <row r="183" spans="1:11" ht="55" customHeight="1" outlineLevel="1" x14ac:dyDescent="0.35">
      <c r="A183" s="160" t="s">
        <v>387</v>
      </c>
      <c r="B183" s="164" t="s">
        <v>25</v>
      </c>
      <c r="C183" s="164">
        <v>92682</v>
      </c>
      <c r="D183" s="182" t="str">
        <f>[2]planilhanull!$H$4193</f>
        <v>TÊ, EM FERRO GALVANIZADO, CONEXÃO ROSQUEADA, DN 32 (1 1/4"), INSTALADO EM REDE DE ALIMENTAÇÃO PARA SPRINKLER - FORNECIMENTO E INSTALAÇÃO. AF_10/2020</v>
      </c>
      <c r="E183" s="165" t="s">
        <v>7</v>
      </c>
      <c r="F183" s="165">
        <v>5</v>
      </c>
      <c r="G183" s="166" t="str">
        <f>[2]planilhanull!$K$4193</f>
        <v>55,24</v>
      </c>
      <c r="H183" s="165">
        <f t="shared" si="13"/>
        <v>276.2</v>
      </c>
      <c r="I183" s="167">
        <f t="shared" si="14"/>
        <v>340.69</v>
      </c>
    </row>
    <row r="184" spans="1:11" ht="55" customHeight="1" outlineLevel="1" x14ac:dyDescent="0.35">
      <c r="A184" s="40" t="s">
        <v>388</v>
      </c>
      <c r="B184" s="40" t="s">
        <v>25</v>
      </c>
      <c r="C184" s="40">
        <v>92683</v>
      </c>
      <c r="D184" s="52" t="str">
        <f>[2]planilhanull!$H$4194</f>
        <v>TÊ, EM FERRO GALVANIZADO, CONEXÃO ROSQUEADA, DN 40 (1 1/2"), INSTALADO EM REDE DE ALIMENTAÇÃO PARA SPRINKLER - FORNECIMENTO E INSTALAÇÃO. AF_10/2020</v>
      </c>
      <c r="E184" s="42" t="s">
        <v>7</v>
      </c>
      <c r="F184" s="42">
        <v>5</v>
      </c>
      <c r="G184" s="43" t="str">
        <f>[2]planilhanull!$K$4194</f>
        <v>64,83</v>
      </c>
      <c r="H184" s="42">
        <f t="shared" ref="H184:H186" si="15">ROUND(F184*G184,2)</f>
        <v>324.14999999999998</v>
      </c>
      <c r="I184" s="159">
        <f t="shared" ref="I184:I195" si="16">ROUND(H184*(1+$I$9),2)</f>
        <v>399.84</v>
      </c>
    </row>
    <row r="185" spans="1:11" s="187" customFormat="1" ht="55" customHeight="1" outlineLevel="1" x14ac:dyDescent="0.35">
      <c r="A185" s="160" t="s">
        <v>389</v>
      </c>
      <c r="B185" s="164" t="s">
        <v>25</v>
      </c>
      <c r="C185" s="164">
        <v>92684</v>
      </c>
      <c r="D185" s="182" t="str">
        <f>[2]planilhanull!$H$4195</f>
        <v>TÊ, EM FERRO GALVANIZADO, CONEXÃO ROSQUEADA, DN 50 (2"), INSTALADO EM REDE DE ALIMENTAÇÃO PARA SPRINKLER - FORNECIMENTO E INSTALAÇÃO. AF_10/2020</v>
      </c>
      <c r="E185" s="165" t="s">
        <v>7</v>
      </c>
      <c r="F185" s="165">
        <v>5</v>
      </c>
      <c r="G185" s="166" t="str">
        <f>[2]planilhanull!$K$4195</f>
        <v>88,89</v>
      </c>
      <c r="H185" s="165">
        <f t="shared" si="15"/>
        <v>444.45</v>
      </c>
      <c r="I185" s="167">
        <f t="shared" si="16"/>
        <v>548.23</v>
      </c>
      <c r="J185" s="3"/>
      <c r="K185" s="4"/>
    </row>
    <row r="186" spans="1:11" s="187" customFormat="1" ht="55" customHeight="1" outlineLevel="1" x14ac:dyDescent="0.35">
      <c r="A186" s="40" t="s">
        <v>390</v>
      </c>
      <c r="B186" s="40" t="s">
        <v>25</v>
      </c>
      <c r="C186" s="40">
        <v>92685</v>
      </c>
      <c r="D186" s="52" t="str">
        <f>[2]planilhanull!$H$4196</f>
        <v>TÊ, EM FERRO GALVANIZADO, CONEXÃO ROSQUEADA, DN 65 (2 1/2"), INSTALADO EM REDE DE ALIMENTAÇÃO PARA SPRINKLER - FORNECIMENTO E INSTALAÇÃO. AF_10/2020</v>
      </c>
      <c r="E186" s="42" t="s">
        <v>7</v>
      </c>
      <c r="F186" s="42">
        <v>5</v>
      </c>
      <c r="G186" s="43" t="str">
        <f>[2]planilhanull!$K$4196</f>
        <v>145,46</v>
      </c>
      <c r="H186" s="42">
        <f t="shared" si="15"/>
        <v>727.3</v>
      </c>
      <c r="I186" s="159">
        <f t="shared" si="16"/>
        <v>897.12</v>
      </c>
      <c r="J186" s="3"/>
      <c r="K186" s="4"/>
    </row>
    <row r="187" spans="1:11" s="187" customFormat="1" ht="55" customHeight="1" outlineLevel="1" x14ac:dyDescent="0.35">
      <c r="A187" s="160" t="s">
        <v>391</v>
      </c>
      <c r="B187" s="164" t="s">
        <v>25</v>
      </c>
      <c r="C187" s="164">
        <v>92893</v>
      </c>
      <c r="D187" s="182" t="str">
        <f>[2]planilhanull!$H$4217</f>
        <v>UNIÃO, EM FERRO GALVANIZADO, DN 32 (1 1/4"), CONEXÃO ROSQUEADA, INSTALADO EM REDE DE ALIMENTAÇÃO PARA HIDRANTE - FORNECIMENTO E INSTALAÇÃO. AF_10/2020</v>
      </c>
      <c r="E187" s="165" t="s">
        <v>7</v>
      </c>
      <c r="F187" s="165">
        <v>5</v>
      </c>
      <c r="G187" s="166" t="str">
        <f>[2]planilhanull!$K$4217</f>
        <v>71,31</v>
      </c>
      <c r="H187" s="165">
        <f t="shared" ref="H187:H191" si="17">ROUND(F187*G187,2)</f>
        <v>356.55</v>
      </c>
      <c r="I187" s="167">
        <f t="shared" si="16"/>
        <v>439.8</v>
      </c>
      <c r="J187" s="3"/>
      <c r="K187" s="4"/>
    </row>
    <row r="188" spans="1:11" s="187" customFormat="1" ht="55" customHeight="1" outlineLevel="1" x14ac:dyDescent="0.35">
      <c r="A188" s="40" t="s">
        <v>392</v>
      </c>
      <c r="B188" s="40" t="s">
        <v>25</v>
      </c>
      <c r="C188" s="40">
        <v>92894</v>
      </c>
      <c r="D188" s="52" t="str">
        <f>[2]planilhanull!$H$4218</f>
        <v>UNIÃO, EM FERRO GALVANIZADO, DN 40 (1 1/2"), CONEXÃO ROSQUEADA, INSTALADO EM REDE DE ALIMENTAÇÃO PARA HIDRANTE - FORNECIMENTO E INSTALAÇÃO. AF_10/2020</v>
      </c>
      <c r="E188" s="42" t="s">
        <v>7</v>
      </c>
      <c r="F188" s="42">
        <v>5</v>
      </c>
      <c r="G188" s="43" t="str">
        <f>[2]planilhanull!$K$4218</f>
        <v>85,52</v>
      </c>
      <c r="H188" s="42">
        <f t="shared" si="17"/>
        <v>427.6</v>
      </c>
      <c r="I188" s="159">
        <f t="shared" si="16"/>
        <v>527.44000000000005</v>
      </c>
      <c r="J188" s="3"/>
      <c r="K188" s="4"/>
    </row>
    <row r="189" spans="1:11" s="187" customFormat="1" ht="55" customHeight="1" outlineLevel="1" x14ac:dyDescent="0.35">
      <c r="A189" s="160" t="s">
        <v>393</v>
      </c>
      <c r="B189" s="164" t="s">
        <v>25</v>
      </c>
      <c r="C189" s="164">
        <v>92895</v>
      </c>
      <c r="D189" s="182" t="str">
        <f>[2]planilhanull!$H$4219</f>
        <v>UNIÃO, EM FERRO GALVANIZADO, DN 50 (2"), CONEXÃO ROSQUEADA, INSTALADO EM REDE DE ALIMENTAÇÃO PARA HIDRANTE - FORNECIMENTO E INSTALAÇÃO. AF_10/2020</v>
      </c>
      <c r="E189" s="165" t="s">
        <v>7</v>
      </c>
      <c r="F189" s="165">
        <v>5</v>
      </c>
      <c r="G189" s="166" t="str">
        <f>[2]planilhanull!$K$4219</f>
        <v>117,32</v>
      </c>
      <c r="H189" s="165">
        <f t="shared" si="17"/>
        <v>586.6</v>
      </c>
      <c r="I189" s="167">
        <f t="shared" si="16"/>
        <v>723.57</v>
      </c>
      <c r="J189" s="3"/>
      <c r="K189" s="4"/>
    </row>
    <row r="190" spans="1:11" s="187" customFormat="1" ht="55" customHeight="1" outlineLevel="1" x14ac:dyDescent="0.35">
      <c r="A190" s="40" t="s">
        <v>394</v>
      </c>
      <c r="B190" s="40" t="s">
        <v>25</v>
      </c>
      <c r="C190" s="40">
        <v>92896</v>
      </c>
      <c r="D190" s="52" t="str">
        <f>[2]planilhanull!$H$4220</f>
        <v>UNIÃO, EM FERRO GALVANIZADO, DN 65 (2 1/2"), CONEXÃO ROSQUEADA, INSTALADO EM REDE DE ALIMENTAÇÃO PARA HIDRANTE - FORNECIMENTO E INSTALAÇÃO. AF_10/2020</v>
      </c>
      <c r="E190" s="42" t="s">
        <v>7</v>
      </c>
      <c r="F190" s="42">
        <v>5</v>
      </c>
      <c r="G190" s="43" t="str">
        <f>[2]planilhanull!$K$4220</f>
        <v>180,90</v>
      </c>
      <c r="H190" s="42">
        <f t="shared" si="17"/>
        <v>904.5</v>
      </c>
      <c r="I190" s="159">
        <f t="shared" si="16"/>
        <v>1115.7</v>
      </c>
      <c r="J190" s="3"/>
      <c r="K190" s="4"/>
    </row>
    <row r="191" spans="1:11" s="187" customFormat="1" ht="55" customHeight="1" outlineLevel="1" x14ac:dyDescent="0.35">
      <c r="A191" s="160" t="s">
        <v>395</v>
      </c>
      <c r="B191" s="164" t="s">
        <v>25</v>
      </c>
      <c r="C191" s="164">
        <v>92897</v>
      </c>
      <c r="D191" s="182" t="str">
        <f>[2]planilhanull!$H$4221</f>
        <v>UNIÃO, EM FERRO GALVANIZADO, DN 80 (3"), CONEXÃO ROSQUEADA, INSTALADO EM REDE DE ALIMENTAÇÃO PARA HIDRANTE - FORNECIMENTO E INSTALAÇÃO. AF_10/2020</v>
      </c>
      <c r="E191" s="165" t="s">
        <v>7</v>
      </c>
      <c r="F191" s="165">
        <v>5</v>
      </c>
      <c r="G191" s="166" t="str">
        <f>[2]planilhanull!$K$4221</f>
        <v>267,68</v>
      </c>
      <c r="H191" s="165">
        <f t="shared" si="17"/>
        <v>1338.4</v>
      </c>
      <c r="I191" s="167">
        <f t="shared" si="16"/>
        <v>1650.92</v>
      </c>
      <c r="J191" s="3"/>
      <c r="K191" s="4"/>
    </row>
    <row r="192" spans="1:11" s="187" customFormat="1" ht="55" customHeight="1" outlineLevel="1" x14ac:dyDescent="0.35">
      <c r="A192" s="40" t="s">
        <v>396</v>
      </c>
      <c r="B192" s="40" t="s">
        <v>25</v>
      </c>
      <c r="C192" s="40">
        <v>92898</v>
      </c>
      <c r="D192" s="52" t="str">
        <f>[2]planilhanull!$H$4222</f>
        <v>UNIÃO, EM FERRO GALVANIZADO, CONEXÃO ROSQUEADA, DN 25 (1"), INSTALADO EM REDE DE ALIMENTAÇÃO PARA SPRINKLER - FORNECIMENTO E INSTALAÇÃO. AF_10/2020</v>
      </c>
      <c r="E192" s="42" t="s">
        <v>7</v>
      </c>
      <c r="F192" s="42">
        <v>5</v>
      </c>
      <c r="G192" s="43" t="str">
        <f>[2]planilhanull!$K$4222</f>
        <v>41,98</v>
      </c>
      <c r="H192" s="42">
        <f t="shared" ref="H192:H195" si="18">ROUND(F192*G192,2)</f>
        <v>209.9</v>
      </c>
      <c r="I192" s="159">
        <f t="shared" si="16"/>
        <v>258.91000000000003</v>
      </c>
      <c r="J192" s="3"/>
      <c r="K192" s="4"/>
    </row>
    <row r="193" spans="1:11" s="187" customFormat="1" ht="55" customHeight="1" outlineLevel="1" x14ac:dyDescent="0.35">
      <c r="A193" s="160" t="s">
        <v>397</v>
      </c>
      <c r="B193" s="164" t="s">
        <v>25</v>
      </c>
      <c r="C193" s="164">
        <v>92899</v>
      </c>
      <c r="D193" s="182" t="str">
        <f>[2]planilhanull!$H$4223</f>
        <v>UNIÃO, EM FERRO GALVANIZADO, CONEXÃO ROSQUEADA, DN 32 (1 1/4"), INSTALADO EM REDE DE ALIMENTAÇÃO PARA SPRINKLER - FORNECIMENTO E INSTALAÇÃO. AF_10/2020</v>
      </c>
      <c r="E193" s="165" t="s">
        <v>7</v>
      </c>
      <c r="F193" s="165">
        <v>5</v>
      </c>
      <c r="G193" s="166" t="str">
        <f>[2]planilhanull!$K$4223</f>
        <v>62,84</v>
      </c>
      <c r="H193" s="165">
        <f t="shared" si="18"/>
        <v>314.2</v>
      </c>
      <c r="I193" s="167">
        <f t="shared" si="16"/>
        <v>387.57</v>
      </c>
      <c r="J193" s="3"/>
      <c r="K193" s="4"/>
    </row>
    <row r="194" spans="1:11" s="187" customFormat="1" ht="55" customHeight="1" outlineLevel="1" x14ac:dyDescent="0.35">
      <c r="A194" s="40" t="s">
        <v>398</v>
      </c>
      <c r="B194" s="40" t="s">
        <v>25</v>
      </c>
      <c r="C194" s="40">
        <v>92900</v>
      </c>
      <c r="D194" s="52" t="str">
        <f>[2]planilhanull!$H$4224</f>
        <v>UNIÃO, EM FERRO GALVANIZADO, CONEXÃO ROSQUEADA, DN 40 (1 1/2"), INSTALADO EM REDE DE ALIMENTAÇÃO PARA SPRINKLER - FORNECIMENTO E INSTALAÇÃO. AF_10/2020</v>
      </c>
      <c r="E194" s="42" t="s">
        <v>7</v>
      </c>
      <c r="F194" s="42">
        <v>5</v>
      </c>
      <c r="G194" s="43" t="str">
        <f>[2]planilhanull!$K$4224</f>
        <v>75,87</v>
      </c>
      <c r="H194" s="42">
        <f t="shared" si="18"/>
        <v>379.35</v>
      </c>
      <c r="I194" s="159">
        <f t="shared" si="16"/>
        <v>467.93</v>
      </c>
      <c r="J194" s="3"/>
      <c r="K194" s="4"/>
    </row>
    <row r="195" spans="1:11" s="187" customFormat="1" ht="55" customHeight="1" outlineLevel="1" thickBot="1" x14ac:dyDescent="0.4">
      <c r="A195" s="160" t="s">
        <v>399</v>
      </c>
      <c r="B195" s="164" t="s">
        <v>25</v>
      </c>
      <c r="C195" s="164">
        <v>92901</v>
      </c>
      <c r="D195" s="182" t="str">
        <f>[2]planilhanull!$H$4225</f>
        <v>UNIÃO, EM FERRO GALVANIZADO, CONEXÃO ROSQUEADA, DN 50 (2"), INSTALADO EM REDE DE ALIMENTAÇÃO PARA SPRINKLER - FORNECIMENTO E INSTALAÇÃO. AF_10/2020</v>
      </c>
      <c r="E195" s="165" t="s">
        <v>7</v>
      </c>
      <c r="F195" s="165">
        <v>5</v>
      </c>
      <c r="G195" s="166" t="str">
        <f>[2]planilhanull!$K$4225</f>
        <v>106,21</v>
      </c>
      <c r="H195" s="165">
        <f t="shared" si="18"/>
        <v>531.04999999999995</v>
      </c>
      <c r="I195" s="167">
        <f t="shared" si="16"/>
        <v>655.04999999999995</v>
      </c>
      <c r="J195" s="3"/>
      <c r="K195" s="4"/>
    </row>
    <row r="196" spans="1:11" ht="30" customHeight="1" thickBot="1" x14ac:dyDescent="0.4">
      <c r="A196" s="469" t="s">
        <v>400</v>
      </c>
      <c r="B196" s="470"/>
      <c r="C196" s="470"/>
      <c r="D196" s="470"/>
      <c r="E196" s="470"/>
      <c r="F196" s="470"/>
      <c r="G196" s="470"/>
      <c r="H196" s="471"/>
      <c r="I196" s="168">
        <f>SUM(I56:I195)</f>
        <v>91494.199999999939</v>
      </c>
    </row>
    <row r="197" spans="1:11" ht="31" customHeight="1" thickBot="1" x14ac:dyDescent="0.4">
      <c r="A197" s="114">
        <v>5</v>
      </c>
      <c r="B197" s="419" t="s">
        <v>283</v>
      </c>
      <c r="C197" s="420"/>
      <c r="D197" s="420"/>
      <c r="E197" s="420"/>
      <c r="F197" s="420"/>
      <c r="G197" s="420"/>
      <c r="H197" s="420"/>
      <c r="I197" s="420"/>
    </row>
    <row r="198" spans="1:11" ht="50" customHeight="1" outlineLevel="1" thickBot="1" x14ac:dyDescent="0.4">
      <c r="A198" s="178" t="s">
        <v>166</v>
      </c>
      <c r="B198" s="178" t="s">
        <v>165</v>
      </c>
      <c r="C198" s="178" t="s">
        <v>167</v>
      </c>
      <c r="D198" s="183" t="s">
        <v>6</v>
      </c>
      <c r="E198" s="178" t="s">
        <v>7</v>
      </c>
      <c r="F198" s="178" t="s">
        <v>270</v>
      </c>
      <c r="G198" s="179" t="s">
        <v>271</v>
      </c>
      <c r="H198" s="178" t="s">
        <v>269</v>
      </c>
      <c r="I198" s="178" t="s">
        <v>272</v>
      </c>
    </row>
    <row r="199" spans="1:11" ht="45" customHeight="1" outlineLevel="1" x14ac:dyDescent="0.35">
      <c r="A199" s="40" t="s">
        <v>115</v>
      </c>
      <c r="B199" s="40" t="s">
        <v>25</v>
      </c>
      <c r="C199" s="40">
        <v>95745</v>
      </c>
      <c r="D199" s="52" t="str">
        <f>[2]planilhanull!$H$2752</f>
        <v>ELETRODUTO DE AÇO GALVANIZADO, CLASSE LEVE, DN 20 MM (3/4), APARENTE, INSTALADO EM TETO - FORNECIMENTO E INSTALAÇÃO. AF_11/2016_P</v>
      </c>
      <c r="E199" s="42" t="s">
        <v>297</v>
      </c>
      <c r="F199" s="42">
        <v>10</v>
      </c>
      <c r="G199" s="43" t="str">
        <f>[2]planilhanull!$K$2752</f>
        <v>22,29</v>
      </c>
      <c r="H199" s="42">
        <f t="shared" ref="H199:H231" si="19">ROUND(F199*G199,2)</f>
        <v>222.9</v>
      </c>
      <c r="I199" s="159">
        <f t="shared" ref="I199:I236" si="20">ROUND(H199*(1+$I$9),2)</f>
        <v>274.95</v>
      </c>
    </row>
    <row r="200" spans="1:11" ht="45" customHeight="1" outlineLevel="1" x14ac:dyDescent="0.35">
      <c r="A200" s="160" t="s">
        <v>116</v>
      </c>
      <c r="B200" s="160" t="s">
        <v>25</v>
      </c>
      <c r="C200" s="160" t="str">
        <f>[2]planilhanull!$G$2753</f>
        <v>95746</v>
      </c>
      <c r="D200" s="180" t="str">
        <f>[2]planilhanull!$H$2753</f>
        <v>ELETRODUTO DE AÇO GALVANIZADO, CLASSE LEVE, DN 25 MM (1), APARENTE, INSTALADO EM TETO - FORNECIMENTO E INSTALAÇÃO. AF_11/2016_P</v>
      </c>
      <c r="E200" s="161" t="s">
        <v>297</v>
      </c>
      <c r="F200" s="161">
        <v>10</v>
      </c>
      <c r="G200" s="162" t="str">
        <f>[2]planilhanull!$K$2753</f>
        <v>27,78</v>
      </c>
      <c r="H200" s="161">
        <f t="shared" si="19"/>
        <v>277.8</v>
      </c>
      <c r="I200" s="163">
        <f t="shared" si="20"/>
        <v>342.67</v>
      </c>
    </row>
    <row r="201" spans="1:11" ht="45" customHeight="1" outlineLevel="1" x14ac:dyDescent="0.35">
      <c r="A201" s="40" t="s">
        <v>211</v>
      </c>
      <c r="B201" s="40" t="s">
        <v>25</v>
      </c>
      <c r="C201" s="40">
        <v>95727</v>
      </c>
      <c r="D201" s="52" t="str">
        <f>[2]planilhanull!$H$2746</f>
        <v>ELETRODUTO RÍGIDO SOLDÁVEL, PVC, DN 25 MM (3/4), APARENTE, INSTALADO EM TETO - FORNECIMENTO E INSTALAÇÃO. AF_11/2016_P</v>
      </c>
      <c r="E201" s="42" t="s">
        <v>297</v>
      </c>
      <c r="F201" s="42">
        <v>10</v>
      </c>
      <c r="G201" s="43" t="str">
        <f>[2]planilhanull!$K$2746</f>
        <v>7,42</v>
      </c>
      <c r="H201" s="42">
        <f t="shared" si="19"/>
        <v>74.2</v>
      </c>
      <c r="I201" s="159">
        <f t="shared" si="20"/>
        <v>91.53</v>
      </c>
    </row>
    <row r="202" spans="1:11" ht="45" customHeight="1" outlineLevel="1" x14ac:dyDescent="0.35">
      <c r="A202" s="160" t="s">
        <v>212</v>
      </c>
      <c r="B202" s="160" t="s">
        <v>25</v>
      </c>
      <c r="C202" s="160">
        <v>95728</v>
      </c>
      <c r="D202" s="180" t="str">
        <f>[2]planilhanull!$H$2747</f>
        <v>ELETRODUTO RÍGIDO SOLDÁVEL, PVC, DN 32 MM (1), APARENTE, INSTALADO EM TETO - FORNECIMENTO E INSTALAÇÃO. AF_11/2016_P</v>
      </c>
      <c r="E202" s="161" t="s">
        <v>297</v>
      </c>
      <c r="F202" s="161">
        <v>10</v>
      </c>
      <c r="G202" s="162" t="str">
        <f>[2]planilhanull!$K$2747</f>
        <v>9,55</v>
      </c>
      <c r="H202" s="161">
        <f t="shared" si="19"/>
        <v>95.5</v>
      </c>
      <c r="I202" s="163">
        <f t="shared" si="20"/>
        <v>117.8</v>
      </c>
    </row>
    <row r="203" spans="1:11" ht="45" customHeight="1" outlineLevel="1" x14ac:dyDescent="0.35">
      <c r="A203" s="40" t="s">
        <v>213</v>
      </c>
      <c r="B203" s="40" t="s">
        <v>25</v>
      </c>
      <c r="C203" s="40">
        <v>95729</v>
      </c>
      <c r="D203" s="52" t="str">
        <f>[2]planilhanull!$H$2748</f>
        <v>ELETRODUTO RÍGIDO SOLDÁVEL, PVC, DN 20 MM (½), APARENTE, INSTALADO EM PAREDE - FORNECIMENTO E INSTALAÇÃO. AF_11/2016_P</v>
      </c>
      <c r="E203" s="42" t="s">
        <v>297</v>
      </c>
      <c r="F203" s="42">
        <v>10</v>
      </c>
      <c r="G203" s="43" t="str">
        <f>[2]planilhanull!$K$2748</f>
        <v>8,20</v>
      </c>
      <c r="H203" s="42">
        <f t="shared" si="19"/>
        <v>82</v>
      </c>
      <c r="I203" s="159">
        <f t="shared" si="20"/>
        <v>101.15</v>
      </c>
    </row>
    <row r="204" spans="1:11" ht="45" customHeight="1" outlineLevel="1" x14ac:dyDescent="0.35">
      <c r="A204" s="160" t="s">
        <v>214</v>
      </c>
      <c r="B204" s="160" t="s">
        <v>25</v>
      </c>
      <c r="C204" s="160">
        <v>95730</v>
      </c>
      <c r="D204" s="180" t="str">
        <f>[2]planilhanull!$H$2749</f>
        <v>ELETRODUTO RÍGIDO SOLDÁVEL, PVC, DN 25 MM (3/4), APARENTE, INSTALADO EM PAREDE - FORNECIMENTO E INSTALAÇÃO. AF_11/2016_P</v>
      </c>
      <c r="E204" s="161" t="s">
        <v>297</v>
      </c>
      <c r="F204" s="161">
        <v>10</v>
      </c>
      <c r="G204" s="162" t="str">
        <f>[2]planilhanull!$K$2749</f>
        <v>9,16</v>
      </c>
      <c r="H204" s="161">
        <f t="shared" si="19"/>
        <v>91.6</v>
      </c>
      <c r="I204" s="163">
        <f t="shared" si="20"/>
        <v>112.99</v>
      </c>
    </row>
    <row r="205" spans="1:11" ht="45" customHeight="1" outlineLevel="1" x14ac:dyDescent="0.35">
      <c r="A205" s="40" t="s">
        <v>215</v>
      </c>
      <c r="B205" s="40" t="s">
        <v>25</v>
      </c>
      <c r="C205" s="40">
        <v>95731</v>
      </c>
      <c r="D205" s="52" t="str">
        <f>[2]planilhanull!$H$2750</f>
        <v>ELETRODUTO RÍGIDO SOLDÁVEL, PVC, DN 32 MM (1), APARENTE, INSTALADO EM PAREDE - FORNECIMENTO E INSTALAÇÃO. AF_11/2016_P</v>
      </c>
      <c r="E205" s="42" t="s">
        <v>297</v>
      </c>
      <c r="F205" s="42">
        <v>10</v>
      </c>
      <c r="G205" s="43" t="str">
        <f>[2]planilhanull!$K$2750</f>
        <v>11,29</v>
      </c>
      <c r="H205" s="42">
        <f t="shared" si="19"/>
        <v>112.9</v>
      </c>
      <c r="I205" s="159">
        <f t="shared" si="20"/>
        <v>139.26</v>
      </c>
    </row>
    <row r="206" spans="1:11" ht="45" customHeight="1" outlineLevel="1" x14ac:dyDescent="0.35">
      <c r="A206" s="160" t="s">
        <v>216</v>
      </c>
      <c r="B206" s="160" t="s">
        <v>25</v>
      </c>
      <c r="C206" s="160">
        <v>91924</v>
      </c>
      <c r="D206" s="180" t="str">
        <f>[2]planilhanull!$H$2826</f>
        <v>CABO DE COBRE FLEXÍVEL ISOLADO, 1,5 MM², ANTI-CHAMA 450/750 V, PARA CIRCUITOS TERMINAIS - FORNECIMENTO E INSTALAÇÃO. AF_12/2015</v>
      </c>
      <c r="E206" s="161" t="s">
        <v>297</v>
      </c>
      <c r="F206" s="161">
        <v>1000</v>
      </c>
      <c r="G206" s="162" t="str">
        <f>[2]planilhanull!$K$2826</f>
        <v>2,85</v>
      </c>
      <c r="H206" s="161">
        <f t="shared" si="19"/>
        <v>2850</v>
      </c>
      <c r="I206" s="163">
        <f t="shared" si="20"/>
        <v>3515.48</v>
      </c>
    </row>
    <row r="207" spans="1:11" ht="45" customHeight="1" outlineLevel="1" x14ac:dyDescent="0.35">
      <c r="A207" s="40" t="s">
        <v>217</v>
      </c>
      <c r="B207" s="40" t="s">
        <v>25</v>
      </c>
      <c r="C207" s="40">
        <v>91926</v>
      </c>
      <c r="D207" s="52" t="str">
        <f>[2]planilhanull!$H$2828</f>
        <v>CABO DE COBRE FLEXÍVEL ISOLADO, 2,5 MM², ANTI-CHAMA 450/750 V, PARA CIRCUITOS TERMINAIS - FORNECIMENTO E INSTALAÇÃO. AF_12/2015</v>
      </c>
      <c r="E207" s="42" t="s">
        <v>297</v>
      </c>
      <c r="F207" s="42">
        <v>1000</v>
      </c>
      <c r="G207" s="43" t="str">
        <f>[2]planilhanull!$K$2828</f>
        <v>4,20</v>
      </c>
      <c r="H207" s="42">
        <f t="shared" si="19"/>
        <v>4200</v>
      </c>
      <c r="I207" s="159">
        <f t="shared" si="20"/>
        <v>5180.7</v>
      </c>
    </row>
    <row r="208" spans="1:11" ht="45" customHeight="1" outlineLevel="1" x14ac:dyDescent="0.35">
      <c r="A208" s="160" t="s">
        <v>218</v>
      </c>
      <c r="B208" s="160" t="s">
        <v>25</v>
      </c>
      <c r="C208" s="160">
        <v>91928</v>
      </c>
      <c r="D208" s="180" t="str">
        <f>[2]planilhanull!$H$2830</f>
        <v>CABO DE COBRE FLEXÍVEL ISOLADO, 4 MM², ANTI-CHAMA 450/750 V, PARA CIRCUITOS TERMINAIS - FORNECIMENTO E INSTALAÇÃO. AF_12/2015</v>
      </c>
      <c r="E208" s="161" t="s">
        <v>297</v>
      </c>
      <c r="F208" s="161">
        <v>1000</v>
      </c>
      <c r="G208" s="162" t="str">
        <f>[2]planilhanull!$K$2830</f>
        <v>6,94</v>
      </c>
      <c r="H208" s="161">
        <f t="shared" si="19"/>
        <v>6940</v>
      </c>
      <c r="I208" s="163">
        <f t="shared" si="20"/>
        <v>8560.49</v>
      </c>
    </row>
    <row r="209" spans="1:9" ht="45" customHeight="1" outlineLevel="1" x14ac:dyDescent="0.35">
      <c r="A209" s="40" t="s">
        <v>219</v>
      </c>
      <c r="B209" s="40" t="s">
        <v>25</v>
      </c>
      <c r="C209" s="40">
        <v>91930</v>
      </c>
      <c r="D209" s="52" t="str">
        <f>[2]planilhanull!$H$2832</f>
        <v>CABO DE COBRE FLEXÍVEL ISOLADO, 6 MM², ANTI-CHAMA 450/750 V, PARA CIRCUITOS TERMINAIS - FORNECIMENTO E INSTALAÇÃO. AF_12/2015</v>
      </c>
      <c r="E209" s="42" t="s">
        <v>297</v>
      </c>
      <c r="F209" s="42">
        <v>1000</v>
      </c>
      <c r="G209" s="43" t="str">
        <f>[2]planilhanull!$K$2832</f>
        <v>9,53</v>
      </c>
      <c r="H209" s="42">
        <f t="shared" si="19"/>
        <v>9530</v>
      </c>
      <c r="I209" s="159">
        <f t="shared" si="20"/>
        <v>11755.26</v>
      </c>
    </row>
    <row r="210" spans="1:9" ht="45" customHeight="1" outlineLevel="1" x14ac:dyDescent="0.35">
      <c r="A210" s="160" t="s">
        <v>220</v>
      </c>
      <c r="B210" s="160" t="s">
        <v>25</v>
      </c>
      <c r="C210" s="160">
        <v>91932</v>
      </c>
      <c r="D210" s="180" t="str">
        <f>[2]planilhanull!$H$2834</f>
        <v>CABO DE COBRE FLEXÍVEL ISOLADO, 10 MM², ANTI-CHAMA 450/750 V, PARA CIRCUITOS TERMINAIS - FORNECIMENTO E INSTALAÇÃO. AF_12/2015</v>
      </c>
      <c r="E210" s="161" t="s">
        <v>297</v>
      </c>
      <c r="F210" s="161">
        <v>1000</v>
      </c>
      <c r="G210" s="162" t="str">
        <f>[2]planilhanull!$K$2834</f>
        <v>15,80</v>
      </c>
      <c r="H210" s="161">
        <f t="shared" si="19"/>
        <v>15800</v>
      </c>
      <c r="I210" s="163">
        <f t="shared" si="20"/>
        <v>19489.3</v>
      </c>
    </row>
    <row r="211" spans="1:9" ht="45" customHeight="1" outlineLevel="1" x14ac:dyDescent="0.35">
      <c r="A211" s="40" t="s">
        <v>221</v>
      </c>
      <c r="B211" s="40" t="s">
        <v>25</v>
      </c>
      <c r="C211" s="40">
        <v>93653</v>
      </c>
      <c r="D211" s="189" t="str">
        <f>[2]planilhanull!$H$2919</f>
        <v>DISJUNTOR MONOPOLAR TIPO DIN, CORRENTE NOMINAL DE 10A - FORNECIMENTO E INSTALAÇÃO. AF_10/2020</v>
      </c>
      <c r="E211" s="42" t="s">
        <v>7</v>
      </c>
      <c r="F211" s="42">
        <v>10</v>
      </c>
      <c r="G211" s="43" t="str">
        <f>[2]planilhanull!$K$2919</f>
        <v>12,60</v>
      </c>
      <c r="H211" s="42">
        <f t="shared" si="19"/>
        <v>126</v>
      </c>
      <c r="I211" s="159">
        <f t="shared" si="20"/>
        <v>155.41999999999999</v>
      </c>
    </row>
    <row r="212" spans="1:9" ht="45" customHeight="1" outlineLevel="1" x14ac:dyDescent="0.35">
      <c r="A212" s="160" t="s">
        <v>222</v>
      </c>
      <c r="B212" s="160" t="s">
        <v>25</v>
      </c>
      <c r="C212" s="160">
        <v>93654</v>
      </c>
      <c r="D212" s="180" t="str">
        <f>[2]planilhanull!$H$2920</f>
        <v>DISJUNTOR MONOPOLAR TIPO DIN, CORRENTE NOMINAL DE 16A - FORNECIMENTO E INSTALAÇÃO. AF_10/2020</v>
      </c>
      <c r="E212" s="161" t="s">
        <v>7</v>
      </c>
      <c r="F212" s="161">
        <v>10</v>
      </c>
      <c r="G212" s="162" t="str">
        <f>[2]planilhanull!$K$2920</f>
        <v>13,11</v>
      </c>
      <c r="H212" s="161">
        <f t="shared" si="19"/>
        <v>131.1</v>
      </c>
      <c r="I212" s="163">
        <f t="shared" si="20"/>
        <v>161.71</v>
      </c>
    </row>
    <row r="213" spans="1:9" ht="45" customHeight="1" outlineLevel="1" x14ac:dyDescent="0.35">
      <c r="A213" s="40" t="s">
        <v>223</v>
      </c>
      <c r="B213" s="40" t="s">
        <v>25</v>
      </c>
      <c r="C213" s="40">
        <v>93655</v>
      </c>
      <c r="D213" s="52" t="str">
        <f>[2]planilhanull!$H$2921</f>
        <v>DISJUNTOR MONOPOLAR TIPO DIN, CORRENTE NOMINAL DE 20A - FORNECIMENTO E INSTALAÇÃO. AF_10/2020</v>
      </c>
      <c r="E213" s="42" t="s">
        <v>7</v>
      </c>
      <c r="F213" s="42">
        <v>10</v>
      </c>
      <c r="G213" s="43" t="str">
        <f>[2]planilhanull!$K$2921</f>
        <v>14,15</v>
      </c>
      <c r="H213" s="42">
        <f t="shared" si="19"/>
        <v>141.5</v>
      </c>
      <c r="I213" s="159">
        <f t="shared" si="20"/>
        <v>174.54</v>
      </c>
    </row>
    <row r="214" spans="1:9" ht="45" customHeight="1" outlineLevel="1" x14ac:dyDescent="0.35">
      <c r="A214" s="160" t="s">
        <v>224</v>
      </c>
      <c r="B214" s="160" t="s">
        <v>25</v>
      </c>
      <c r="C214" s="160">
        <v>93656</v>
      </c>
      <c r="D214" s="180" t="str">
        <f>[2]planilhanull!$H$2922</f>
        <v>DISJUNTOR MONOPOLAR TIPO DIN, CORRENTE NOMINAL DE 25A - FORNECIMENTO E INSTALAÇÃO. AF_10/2020</v>
      </c>
      <c r="E214" s="161" t="s">
        <v>7</v>
      </c>
      <c r="F214" s="161">
        <v>10</v>
      </c>
      <c r="G214" s="162" t="str">
        <f>[2]planilhanull!$K$2922</f>
        <v>14,15</v>
      </c>
      <c r="H214" s="161">
        <f t="shared" si="19"/>
        <v>141.5</v>
      </c>
      <c r="I214" s="163">
        <f t="shared" si="20"/>
        <v>174.54</v>
      </c>
    </row>
    <row r="215" spans="1:9" ht="45" customHeight="1" outlineLevel="1" x14ac:dyDescent="0.35">
      <c r="A215" s="40" t="s">
        <v>225</v>
      </c>
      <c r="B215" s="40" t="s">
        <v>25</v>
      </c>
      <c r="C215" s="40">
        <v>93657</v>
      </c>
      <c r="D215" s="52" t="str">
        <f>[2]planilhanull!$H$2923</f>
        <v>DISJUNTOR MONOPOLAR TIPO DIN, CORRENTE NOMINAL DE 32A - FORNECIMENTO E INSTALAÇÃO. AF_10/2020</v>
      </c>
      <c r="E215" s="42" t="s">
        <v>7</v>
      </c>
      <c r="F215" s="42">
        <v>10</v>
      </c>
      <c r="G215" s="43" t="str">
        <f>[2]planilhanull!$K$2923</f>
        <v>15,39</v>
      </c>
      <c r="H215" s="42">
        <f t="shared" si="19"/>
        <v>153.9</v>
      </c>
      <c r="I215" s="159">
        <f t="shared" si="20"/>
        <v>189.84</v>
      </c>
    </row>
    <row r="216" spans="1:9" ht="45" customHeight="1" outlineLevel="1" x14ac:dyDescent="0.35">
      <c r="A216" s="160" t="s">
        <v>226</v>
      </c>
      <c r="B216" s="160" t="s">
        <v>25</v>
      </c>
      <c r="C216" s="160">
        <v>93658</v>
      </c>
      <c r="D216" s="180" t="str">
        <f>[2]planilhanull!$H$2924</f>
        <v>DISJUNTOR MONOPOLAR TIPO DIN, CORRENTE NOMINAL DE 40A - FORNECIMENTO E INSTALAÇÃO. AF_10/2020</v>
      </c>
      <c r="E216" s="161" t="s">
        <v>7</v>
      </c>
      <c r="F216" s="161">
        <v>10</v>
      </c>
      <c r="G216" s="162" t="str">
        <f>[2]planilhanull!$K$2924</f>
        <v>22,25</v>
      </c>
      <c r="H216" s="161">
        <f t="shared" si="19"/>
        <v>222.5</v>
      </c>
      <c r="I216" s="163">
        <f t="shared" si="20"/>
        <v>274.45</v>
      </c>
    </row>
    <row r="217" spans="1:9" ht="45" customHeight="1" outlineLevel="1" x14ac:dyDescent="0.35">
      <c r="A217" s="40" t="s">
        <v>227</v>
      </c>
      <c r="B217" s="40" t="s">
        <v>25</v>
      </c>
      <c r="C217" s="40">
        <v>93659</v>
      </c>
      <c r="D217" s="52" t="str">
        <f>[2]planilhanull!$H$2925</f>
        <v>DISJUNTOR MONOPOLAR TIPO DIN, CORRENTE NOMINAL DE 50A - FORNECIMENTO E INSTALAÇÃO. AF_10/2020</v>
      </c>
      <c r="E217" s="42" t="s">
        <v>7</v>
      </c>
      <c r="F217" s="42">
        <v>10</v>
      </c>
      <c r="G217" s="43" t="str">
        <f>[2]planilhanull!$K$2925</f>
        <v>24,76</v>
      </c>
      <c r="H217" s="42">
        <f t="shared" si="19"/>
        <v>247.6</v>
      </c>
      <c r="I217" s="159">
        <f t="shared" si="20"/>
        <v>305.41000000000003</v>
      </c>
    </row>
    <row r="218" spans="1:9" ht="45" customHeight="1" outlineLevel="1" x14ac:dyDescent="0.35">
      <c r="A218" s="160" t="s">
        <v>228</v>
      </c>
      <c r="B218" s="160" t="s">
        <v>25</v>
      </c>
      <c r="C218" s="160">
        <v>93660</v>
      </c>
      <c r="D218" s="180" t="str">
        <f>[2]planilhanull!$H$2926</f>
        <v>DISJUNTOR BIPOLAR TIPO DIN, CORRENTE NOMINAL DE 10A - FORNECIMENTO E INSTALAÇÃO. AF_10/2020</v>
      </c>
      <c r="E218" s="161" t="s">
        <v>7</v>
      </c>
      <c r="F218" s="161">
        <v>10</v>
      </c>
      <c r="G218" s="162" t="str">
        <f>[2]planilhanull!$K$2926</f>
        <v>63,42</v>
      </c>
      <c r="H218" s="161">
        <f t="shared" si="19"/>
        <v>634.20000000000005</v>
      </c>
      <c r="I218" s="163">
        <f t="shared" si="20"/>
        <v>782.29</v>
      </c>
    </row>
    <row r="219" spans="1:9" ht="45" customHeight="1" outlineLevel="1" x14ac:dyDescent="0.35">
      <c r="A219" s="40" t="s">
        <v>229</v>
      </c>
      <c r="B219" s="40" t="s">
        <v>25</v>
      </c>
      <c r="C219" s="40">
        <v>93661</v>
      </c>
      <c r="D219" s="52" t="str">
        <f>[2]planilhanull!$H$2927</f>
        <v>DISJUNTOR BIPOLAR TIPO DIN, CORRENTE NOMINAL DE 16A - FORNECIMENTO E INSTALAÇÃO. AF_10/2020</v>
      </c>
      <c r="E219" s="42" t="s">
        <v>7</v>
      </c>
      <c r="F219" s="42">
        <v>10</v>
      </c>
      <c r="G219" s="43" t="str">
        <f>[2]planilhanull!$K$2927</f>
        <v>64,44</v>
      </c>
      <c r="H219" s="42">
        <f t="shared" si="19"/>
        <v>644.4</v>
      </c>
      <c r="I219" s="159">
        <f t="shared" si="20"/>
        <v>794.87</v>
      </c>
    </row>
    <row r="220" spans="1:9" ht="45" customHeight="1" outlineLevel="1" x14ac:dyDescent="0.35">
      <c r="A220" s="160" t="s">
        <v>230</v>
      </c>
      <c r="B220" s="160" t="s">
        <v>25</v>
      </c>
      <c r="C220" s="160">
        <v>93662</v>
      </c>
      <c r="D220" s="180" t="str">
        <f>[2]planilhanull!$H$2928</f>
        <v>DISJUNTOR BIPOLAR TIPO DIN, CORRENTE NOMINAL DE 20A - FORNECIMENTO E INSTALAÇÃO. AF_10/2020</v>
      </c>
      <c r="E220" s="161" t="s">
        <v>7</v>
      </c>
      <c r="F220" s="161">
        <v>10</v>
      </c>
      <c r="G220" s="162" t="str">
        <f>[2]planilhanull!$K$2928</f>
        <v>66,52</v>
      </c>
      <c r="H220" s="161">
        <f t="shared" si="19"/>
        <v>665.2</v>
      </c>
      <c r="I220" s="163">
        <f t="shared" si="20"/>
        <v>820.52</v>
      </c>
    </row>
    <row r="221" spans="1:9" ht="45" customHeight="1" outlineLevel="1" x14ac:dyDescent="0.35">
      <c r="A221" s="40" t="s">
        <v>231</v>
      </c>
      <c r="B221" s="40" t="s">
        <v>25</v>
      </c>
      <c r="C221" s="40">
        <v>93663</v>
      </c>
      <c r="D221" s="52" t="str">
        <f>[2]planilhanull!$H$2929</f>
        <v>DISJUNTOR BIPOLAR TIPO DIN, CORRENTE NOMINAL DE 25A - FORNECIMENTO E INSTALAÇÃO. AF_10/2020</v>
      </c>
      <c r="E221" s="42" t="s">
        <v>7</v>
      </c>
      <c r="F221" s="42">
        <v>10</v>
      </c>
      <c r="G221" s="43" t="str">
        <f>[2]planilhanull!$K$2929</f>
        <v>66,52</v>
      </c>
      <c r="H221" s="42">
        <f t="shared" si="19"/>
        <v>665.2</v>
      </c>
      <c r="I221" s="159">
        <f t="shared" si="20"/>
        <v>820.52</v>
      </c>
    </row>
    <row r="222" spans="1:9" ht="45" customHeight="1" outlineLevel="1" x14ac:dyDescent="0.35">
      <c r="A222" s="160" t="s">
        <v>232</v>
      </c>
      <c r="B222" s="160" t="s">
        <v>25</v>
      </c>
      <c r="C222" s="160">
        <v>93664</v>
      </c>
      <c r="D222" s="180" t="str">
        <f>[2]planilhanull!$H$2930</f>
        <v>DISJUNTOR BIPOLAR TIPO DIN, CORRENTE NOMINAL DE 32A - FORNECIMENTO E INSTALAÇÃO. AF_10/2020</v>
      </c>
      <c r="E222" s="161" t="s">
        <v>7</v>
      </c>
      <c r="F222" s="161">
        <v>10</v>
      </c>
      <c r="G222" s="162" t="str">
        <f>[2]planilhanull!$K$2930</f>
        <v>69,02</v>
      </c>
      <c r="H222" s="161">
        <f t="shared" si="19"/>
        <v>690.2</v>
      </c>
      <c r="I222" s="163">
        <f t="shared" si="20"/>
        <v>851.36</v>
      </c>
    </row>
    <row r="223" spans="1:9" ht="45" customHeight="1" outlineLevel="1" x14ac:dyDescent="0.35">
      <c r="A223" s="40" t="s">
        <v>233</v>
      </c>
      <c r="B223" s="40" t="s">
        <v>25</v>
      </c>
      <c r="C223" s="40">
        <v>93665</v>
      </c>
      <c r="D223" s="52" t="str">
        <f>[2]planilhanull!$H$2931</f>
        <v>DISJUNTOR BIPOLAR TIPO DIN, CORRENTE NOMINAL DE 40A - FORNECIMENTO E INSTALAÇÃO. AF_10/2020</v>
      </c>
      <c r="E223" s="42" t="s">
        <v>7</v>
      </c>
      <c r="F223" s="42">
        <v>10</v>
      </c>
      <c r="G223" s="43" t="str">
        <f>[2]planilhanull!$K$2931</f>
        <v>71,94</v>
      </c>
      <c r="H223" s="42">
        <f t="shared" si="19"/>
        <v>719.4</v>
      </c>
      <c r="I223" s="159">
        <f t="shared" si="20"/>
        <v>887.38</v>
      </c>
    </row>
    <row r="224" spans="1:9" ht="45" customHeight="1" outlineLevel="1" x14ac:dyDescent="0.35">
      <c r="A224" s="160" t="s">
        <v>234</v>
      </c>
      <c r="B224" s="160" t="s">
        <v>25</v>
      </c>
      <c r="C224" s="160">
        <v>93666</v>
      </c>
      <c r="D224" s="180" t="str">
        <f>[2]planilhanull!$H$2932</f>
        <v>DISJUNTOR BIPOLAR TIPO DIN, CORRENTE NOMINAL DE 50A - FORNECIMENTO E INSTALAÇÃO. AF_10/2020</v>
      </c>
      <c r="E224" s="161" t="s">
        <v>7</v>
      </c>
      <c r="F224" s="161">
        <v>10</v>
      </c>
      <c r="G224" s="162" t="str">
        <f>[2]planilhanull!$K$2932</f>
        <v>76,95</v>
      </c>
      <c r="H224" s="161">
        <f t="shared" si="19"/>
        <v>769.5</v>
      </c>
      <c r="I224" s="163">
        <f t="shared" si="20"/>
        <v>949.18</v>
      </c>
    </row>
    <row r="225" spans="1:11" ht="45" customHeight="1" outlineLevel="1" x14ac:dyDescent="0.35">
      <c r="A225" s="40" t="s">
        <v>235</v>
      </c>
      <c r="B225" s="40" t="s">
        <v>25</v>
      </c>
      <c r="C225" s="40">
        <v>93667</v>
      </c>
      <c r="D225" s="52" t="str">
        <f>[2]planilhanull!$H$2933</f>
        <v>DISJUNTOR TRIPOLAR TIPO DIN, CORRENTE NOMINAL DE 10A - FORNECIMENTO E INSTALAÇÃO. AF_10/2020</v>
      </c>
      <c r="E225" s="42" t="s">
        <v>7</v>
      </c>
      <c r="F225" s="42">
        <v>10</v>
      </c>
      <c r="G225" s="43" t="str">
        <f>[2]planilhanull!$K$2933</f>
        <v>78,99</v>
      </c>
      <c r="H225" s="42">
        <f t="shared" si="19"/>
        <v>789.9</v>
      </c>
      <c r="I225" s="159">
        <f t="shared" si="20"/>
        <v>974.34</v>
      </c>
    </row>
    <row r="226" spans="1:11" ht="45" customHeight="1" outlineLevel="1" x14ac:dyDescent="0.35">
      <c r="A226" s="160" t="s">
        <v>236</v>
      </c>
      <c r="B226" s="160" t="s">
        <v>25</v>
      </c>
      <c r="C226" s="160">
        <v>93668</v>
      </c>
      <c r="D226" s="180" t="str">
        <f>[2]planilhanull!$H$2934</f>
        <v>DISJUNTOR TRIPOLAR TIPO DIN, CORRENTE NOMINAL DE 16A - FORNECIMENTO E INSTALAÇÃO. AF_10/2020</v>
      </c>
      <c r="E226" s="161" t="s">
        <v>7</v>
      </c>
      <c r="F226" s="161">
        <v>10</v>
      </c>
      <c r="G226" s="162" t="str">
        <f>[2]planilhanull!$K$2934</f>
        <v>80,52</v>
      </c>
      <c r="H226" s="161">
        <f t="shared" si="19"/>
        <v>805.2</v>
      </c>
      <c r="I226" s="163">
        <f t="shared" si="20"/>
        <v>993.21</v>
      </c>
    </row>
    <row r="227" spans="1:11" ht="45" customHeight="1" outlineLevel="1" x14ac:dyDescent="0.35">
      <c r="A227" s="40" t="s">
        <v>237</v>
      </c>
      <c r="B227" s="40" t="s">
        <v>25</v>
      </c>
      <c r="C227" s="40">
        <v>93669</v>
      </c>
      <c r="D227" s="52" t="str">
        <f>[2]planilhanull!$H$2935</f>
        <v>DISJUNTOR TRIPOLAR TIPO DIN, CORRENTE NOMINAL DE 20A - FORNECIMENTO E INSTALAÇÃO. AF_10/2020</v>
      </c>
      <c r="E227" s="42" t="s">
        <v>7</v>
      </c>
      <c r="F227" s="42">
        <v>10</v>
      </c>
      <c r="G227" s="43" t="str">
        <f>[2]planilhanull!$K$2935</f>
        <v>83,65</v>
      </c>
      <c r="H227" s="42">
        <f t="shared" si="19"/>
        <v>836.5</v>
      </c>
      <c r="I227" s="159">
        <f t="shared" si="20"/>
        <v>1031.82</v>
      </c>
    </row>
    <row r="228" spans="1:11" ht="45" customHeight="1" outlineLevel="1" x14ac:dyDescent="0.35">
      <c r="A228" s="160" t="s">
        <v>238</v>
      </c>
      <c r="B228" s="160" t="s">
        <v>25</v>
      </c>
      <c r="C228" s="160">
        <v>93670</v>
      </c>
      <c r="D228" s="180" t="str">
        <f>[2]planilhanull!$H$2936</f>
        <v>DISJUNTOR TRIPOLAR TIPO DIN, CORRENTE NOMINAL DE 25A - FORNECIMENTO E INSTALAÇÃO. AF_10/2020</v>
      </c>
      <c r="E228" s="161" t="s">
        <v>7</v>
      </c>
      <c r="F228" s="161">
        <v>10</v>
      </c>
      <c r="G228" s="162" t="str">
        <f>[2]planilhanull!$K$2936</f>
        <v>83,65</v>
      </c>
      <c r="H228" s="161">
        <f t="shared" si="19"/>
        <v>836.5</v>
      </c>
      <c r="I228" s="163">
        <f t="shared" si="20"/>
        <v>1031.82</v>
      </c>
    </row>
    <row r="229" spans="1:11" ht="45" customHeight="1" outlineLevel="1" x14ac:dyDescent="0.35">
      <c r="A229" s="40" t="s">
        <v>239</v>
      </c>
      <c r="B229" s="40" t="s">
        <v>25</v>
      </c>
      <c r="C229" s="40">
        <v>93671</v>
      </c>
      <c r="D229" s="52" t="str">
        <f>[2]planilhanull!$H$2937</f>
        <v>DISJUNTOR TRIPOLAR TIPO DIN, CORRENTE NOMINAL DE 32A - FORNECIMENTO E INSTALAÇÃO. AF_10/2020</v>
      </c>
      <c r="E229" s="42" t="s">
        <v>7</v>
      </c>
      <c r="F229" s="42">
        <v>10</v>
      </c>
      <c r="G229" s="43" t="str">
        <f>[2]planilhanull!$K$2937</f>
        <v>87,39</v>
      </c>
      <c r="H229" s="42">
        <f t="shared" si="19"/>
        <v>873.9</v>
      </c>
      <c r="I229" s="159">
        <f t="shared" si="20"/>
        <v>1077.96</v>
      </c>
    </row>
    <row r="230" spans="1:11" ht="45" customHeight="1" outlineLevel="1" x14ac:dyDescent="0.35">
      <c r="A230" s="160" t="s">
        <v>240</v>
      </c>
      <c r="B230" s="160" t="s">
        <v>25</v>
      </c>
      <c r="C230" s="160">
        <v>93672</v>
      </c>
      <c r="D230" s="180" t="str">
        <f>[2]planilhanull!$H$2938</f>
        <v>DISJUNTOR TRIPOLAR TIPO DIN, CORRENTE NOMINAL DE 40A - FORNECIMENTO E INSTALAÇÃO. AF_10/2020</v>
      </c>
      <c r="E230" s="161" t="s">
        <v>7</v>
      </c>
      <c r="F230" s="161">
        <v>10</v>
      </c>
      <c r="G230" s="162" t="str">
        <f>[2]planilhanull!$K$2938</f>
        <v>93,13</v>
      </c>
      <c r="H230" s="161">
        <f t="shared" si="19"/>
        <v>931.3</v>
      </c>
      <c r="I230" s="163">
        <f t="shared" si="20"/>
        <v>1148.76</v>
      </c>
    </row>
    <row r="231" spans="1:11" ht="45" customHeight="1" outlineLevel="1" x14ac:dyDescent="0.35">
      <c r="A231" s="40" t="s">
        <v>241</v>
      </c>
      <c r="B231" s="40" t="s">
        <v>25</v>
      </c>
      <c r="C231" s="40">
        <v>93673</v>
      </c>
      <c r="D231" s="52" t="str">
        <f>[2]planilhanull!$H$2939</f>
        <v>DISJUNTOR TRIPOLAR TIPO DIN, CORRENTE NOMINAL DE 50A - FORNECIMENTO E INSTALAÇÃO. AF_10/2020</v>
      </c>
      <c r="E231" s="42" t="s">
        <v>7</v>
      </c>
      <c r="F231" s="42">
        <v>10</v>
      </c>
      <c r="G231" s="43" t="str">
        <f>[2]planilhanull!$K$2939</f>
        <v>100,66</v>
      </c>
      <c r="H231" s="42">
        <f t="shared" si="19"/>
        <v>1006.6</v>
      </c>
      <c r="I231" s="159">
        <f t="shared" si="20"/>
        <v>1241.6400000000001</v>
      </c>
    </row>
    <row r="232" spans="1:11" ht="45" customHeight="1" outlineLevel="1" x14ac:dyDescent="0.35">
      <c r="A232" s="160" t="s">
        <v>242</v>
      </c>
      <c r="B232" s="160" t="s">
        <v>25</v>
      </c>
      <c r="C232" s="160">
        <v>101901</v>
      </c>
      <c r="D232" s="180" t="str">
        <f>[2]planilhanull!$H$2964</f>
        <v>CONTATOR TRIPOLAR I NOMINAL 12A - FORNECIMENTO E INSTALAÇÃO. AF_10/2020</v>
      </c>
      <c r="E232" s="161" t="s">
        <v>7</v>
      </c>
      <c r="F232" s="161">
        <v>10</v>
      </c>
      <c r="G232" s="162" t="str">
        <f>[2]planilhanull!$K$2964</f>
        <v>125,42</v>
      </c>
      <c r="H232" s="161">
        <f t="shared" ref="H232:H236" si="21">ROUND(F232*G232,2)</f>
        <v>1254.2</v>
      </c>
      <c r="I232" s="163">
        <f t="shared" si="20"/>
        <v>1547.06</v>
      </c>
    </row>
    <row r="233" spans="1:11" ht="45" customHeight="1" outlineLevel="1" x14ac:dyDescent="0.35">
      <c r="A233" s="40" t="s">
        <v>243</v>
      </c>
      <c r="B233" s="40" t="s">
        <v>25</v>
      </c>
      <c r="C233" s="40">
        <v>101902</v>
      </c>
      <c r="D233" s="52" t="str">
        <f>[2]planilhanull!$H$2965</f>
        <v>CONTATOR TRIPOLAR I NOMINAL 22A - FORNECIMENTO E INSTALAÇÃO. AF_10/2020</v>
      </c>
      <c r="E233" s="42" t="s">
        <v>7</v>
      </c>
      <c r="F233" s="42">
        <v>10</v>
      </c>
      <c r="G233" s="43" t="str">
        <f>[2]planilhanull!$K$2965</f>
        <v>154,97</v>
      </c>
      <c r="H233" s="42">
        <f t="shared" si="21"/>
        <v>1549.7</v>
      </c>
      <c r="I233" s="159">
        <f t="shared" si="20"/>
        <v>1911.55</v>
      </c>
    </row>
    <row r="234" spans="1:11" s="187" customFormat="1" ht="45" customHeight="1" outlineLevel="1" x14ac:dyDescent="0.35">
      <c r="A234" s="160" t="s">
        <v>244</v>
      </c>
      <c r="B234" s="160" t="s">
        <v>25</v>
      </c>
      <c r="C234" s="160">
        <v>101903</v>
      </c>
      <c r="D234" s="180" t="str">
        <f>[2]planilhanull!$H$2966</f>
        <v>CONTATOR TRIPOLAR I NOMINAL 38A - FORNECIMENTO E INSTALAÇÃO. AF_10/2020</v>
      </c>
      <c r="E234" s="161" t="s">
        <v>7</v>
      </c>
      <c r="F234" s="161">
        <v>10</v>
      </c>
      <c r="G234" s="162" t="str">
        <f>[2]planilhanull!$K$2966</f>
        <v>322,94</v>
      </c>
      <c r="H234" s="161">
        <f t="shared" si="21"/>
        <v>3229.4</v>
      </c>
      <c r="I234" s="163">
        <f t="shared" si="20"/>
        <v>3983.46</v>
      </c>
      <c r="J234" s="3"/>
      <c r="K234" s="4"/>
    </row>
    <row r="235" spans="1:11" s="187" customFormat="1" ht="45" customHeight="1" outlineLevel="1" x14ac:dyDescent="0.35">
      <c r="A235" s="40" t="s">
        <v>245</v>
      </c>
      <c r="B235" s="40" t="s">
        <v>25</v>
      </c>
      <c r="C235" s="40">
        <v>101894</v>
      </c>
      <c r="D235" s="52" t="str">
        <f>[2]planilhanull!$H$2957</f>
        <v>DISJUNTOR TRIPOLAR TIPO NEMA, CORRENTE NOMINAL DE 60 ATÉ 100A - FORNECIMENTO E INSTALAÇÃO. AF_10/2020</v>
      </c>
      <c r="E235" s="42" t="s">
        <v>7</v>
      </c>
      <c r="F235" s="42">
        <v>10</v>
      </c>
      <c r="G235" s="43" t="str">
        <f>[2]planilhanull!$K$2957</f>
        <v>165,10</v>
      </c>
      <c r="H235" s="42">
        <f t="shared" si="21"/>
        <v>1651</v>
      </c>
      <c r="I235" s="159">
        <f t="shared" si="20"/>
        <v>2036.51</v>
      </c>
      <c r="J235" s="3"/>
      <c r="K235" s="4"/>
    </row>
    <row r="236" spans="1:11" s="187" customFormat="1" ht="45" customHeight="1" outlineLevel="1" thickBot="1" x14ac:dyDescent="0.4">
      <c r="A236" s="160" t="s">
        <v>246</v>
      </c>
      <c r="B236" s="160" t="s">
        <v>25</v>
      </c>
      <c r="C236" s="160">
        <v>101893</v>
      </c>
      <c r="D236" s="180" t="str">
        <f>[2]planilhanull!$H$2956</f>
        <v>DISJUNTOR TRIPOLAR TIPO NEMA, CORRENTE NOMINAL DE 10 ATÉ 50A - FORNECIMENTO E INSTALAÇÃO. AF_10/2020</v>
      </c>
      <c r="E236" s="161" t="s">
        <v>7</v>
      </c>
      <c r="F236" s="161">
        <v>10</v>
      </c>
      <c r="G236" s="162" t="str">
        <f>[2]planilhanull!$K$2956</f>
        <v>100,76</v>
      </c>
      <c r="H236" s="161">
        <f t="shared" si="21"/>
        <v>1007.6</v>
      </c>
      <c r="I236" s="163">
        <f t="shared" si="20"/>
        <v>1242.8699999999999</v>
      </c>
      <c r="J236" s="3"/>
      <c r="K236" s="4"/>
    </row>
    <row r="237" spans="1:11" ht="30" customHeight="1" thickBot="1" x14ac:dyDescent="0.4">
      <c r="A237" s="469" t="s">
        <v>405</v>
      </c>
      <c r="B237" s="470"/>
      <c r="C237" s="470"/>
      <c r="D237" s="470"/>
      <c r="E237" s="470"/>
      <c r="F237" s="470"/>
      <c r="G237" s="470"/>
      <c r="H237" s="471"/>
      <c r="I237" s="168">
        <f>SUM(I199:I236)</f>
        <v>75244.609999999986</v>
      </c>
    </row>
    <row r="238" spans="1:11" s="188" customFormat="1" ht="9.5" customHeight="1" thickBot="1" x14ac:dyDescent="0.4">
      <c r="A238" s="193"/>
      <c r="B238" s="194"/>
      <c r="C238" s="194"/>
      <c r="D238" s="194"/>
      <c r="E238" s="194"/>
      <c r="F238" s="194"/>
      <c r="G238" s="194"/>
      <c r="H238" s="194"/>
      <c r="I238" s="195"/>
      <c r="J238" s="3"/>
      <c r="K238" s="4"/>
    </row>
    <row r="239" spans="1:11" ht="34" customHeight="1" thickBot="1" x14ac:dyDescent="0.4">
      <c r="A239" s="114">
        <v>6</v>
      </c>
      <c r="B239" s="419" t="s">
        <v>247</v>
      </c>
      <c r="C239" s="420"/>
      <c r="D239" s="420"/>
      <c r="E239" s="420"/>
      <c r="F239" s="420"/>
      <c r="G239" s="420"/>
      <c r="H239" s="420"/>
      <c r="I239" s="420"/>
    </row>
    <row r="240" spans="1:11" ht="44" outlineLevel="1" thickBot="1" x14ac:dyDescent="0.4">
      <c r="A240" s="178" t="s">
        <v>166</v>
      </c>
      <c r="B240" s="178" t="s">
        <v>165</v>
      </c>
      <c r="C240" s="178" t="s">
        <v>167</v>
      </c>
      <c r="D240" s="183" t="s">
        <v>6</v>
      </c>
      <c r="E240" s="178" t="s">
        <v>7</v>
      </c>
      <c r="F240" s="178" t="s">
        <v>270</v>
      </c>
      <c r="G240" s="179" t="s">
        <v>271</v>
      </c>
      <c r="H240" s="178" t="s">
        <v>269</v>
      </c>
      <c r="I240" s="178" t="s">
        <v>272</v>
      </c>
    </row>
    <row r="241" spans="1:9" ht="30" customHeight="1" outlineLevel="1" x14ac:dyDescent="0.35">
      <c r="A241" s="40" t="s">
        <v>118</v>
      </c>
      <c r="B241" s="40" t="s">
        <v>25</v>
      </c>
      <c r="C241" s="40">
        <v>20111</v>
      </c>
      <c r="D241" s="52" t="str">
        <f>[1]sheet1!$B$2229</f>
        <v xml:space="preserve">FITA ISOLANTE ADESIVA ANTICHAMA, USO ATE 750 V, EM ROLO DE 19 MM X 20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41" s="42" t="s">
        <v>7</v>
      </c>
      <c r="F241" s="42">
        <v>10</v>
      </c>
      <c r="G241" s="43" t="str">
        <f>[1]sheet1!$E$2229</f>
        <v>9,46</v>
      </c>
      <c r="H241" s="42">
        <f t="shared" ref="H241:H253" si="22">ROUND(F241*G241,2)</f>
        <v>94.6</v>
      </c>
      <c r="I241" s="159">
        <f t="shared" ref="I241:I253" si="23">ROUND(H241*(1+$I$9),2)</f>
        <v>116.69</v>
      </c>
    </row>
    <row r="242" spans="1:9" ht="30" customHeight="1" outlineLevel="1" x14ac:dyDescent="0.35">
      <c r="A242" s="160" t="s">
        <v>248</v>
      </c>
      <c r="B242" s="160" t="s">
        <v>25</v>
      </c>
      <c r="C242" s="160">
        <v>21217</v>
      </c>
      <c r="D242" s="180" t="str">
        <f>[1]sheet1!$B$2230</f>
        <v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42" s="161" t="s">
        <v>7</v>
      </c>
      <c r="F242" s="161">
        <v>10</v>
      </c>
      <c r="G242" s="162" t="str">
        <f>[1]sheet1!$E$2230</f>
        <v>3,57</v>
      </c>
      <c r="H242" s="161">
        <f t="shared" si="22"/>
        <v>35.700000000000003</v>
      </c>
      <c r="I242" s="163">
        <f t="shared" si="23"/>
        <v>44.04</v>
      </c>
    </row>
    <row r="243" spans="1:9" ht="30" customHeight="1" outlineLevel="1" x14ac:dyDescent="0.35">
      <c r="A243" s="40" t="s">
        <v>249</v>
      </c>
      <c r="B243" s="40" t="s">
        <v>25</v>
      </c>
      <c r="C243" s="40">
        <v>3146</v>
      </c>
      <c r="D243" s="52" t="str">
        <f>[1]sheet1!$B$2236</f>
        <v xml:space="preserve">FITA VEDA ROSCA EM ROLOS DE 18 MM X 10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43" s="42" t="s">
        <v>7</v>
      </c>
      <c r="F243" s="42">
        <v>10</v>
      </c>
      <c r="G243" s="43" t="str">
        <f>[1]sheet1!$E$2236</f>
        <v>3,71</v>
      </c>
      <c r="H243" s="42">
        <f t="shared" si="22"/>
        <v>37.1</v>
      </c>
      <c r="I243" s="159">
        <f t="shared" si="23"/>
        <v>45.76</v>
      </c>
    </row>
    <row r="244" spans="1:9" ht="30" customHeight="1" outlineLevel="1" x14ac:dyDescent="0.35">
      <c r="A244" s="160" t="s">
        <v>250</v>
      </c>
      <c r="B244" s="160" t="s">
        <v>25</v>
      </c>
      <c r="C244" s="160">
        <v>3272</v>
      </c>
      <c r="D244" s="180" t="str">
        <f>[1]sheet1!$B$2251</f>
        <v xml:space="preserve">FLANGE SEXTAVADO DE FERRO GALVANIZADO, COM ROSCA BSP, DE 1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44" s="161" t="s">
        <v>7</v>
      </c>
      <c r="F244" s="161">
        <v>5</v>
      </c>
      <c r="G244" s="162" t="str">
        <f>[1]sheet1!$E$2251</f>
        <v>47,45</v>
      </c>
      <c r="H244" s="161">
        <f t="shared" si="22"/>
        <v>237.25</v>
      </c>
      <c r="I244" s="163">
        <f t="shared" si="23"/>
        <v>292.64999999999998</v>
      </c>
    </row>
    <row r="245" spans="1:9" ht="30" customHeight="1" outlineLevel="1" x14ac:dyDescent="0.35">
      <c r="A245" s="40" t="s">
        <v>251</v>
      </c>
      <c r="B245" s="40" t="s">
        <v>25</v>
      </c>
      <c r="C245" s="40">
        <v>3265</v>
      </c>
      <c r="D245" s="52" t="str">
        <f>[1]sheet1!$B$2252</f>
        <v xml:space="preserve">FLANGE SEXTAVADO DE FERRO GALVANIZADO, COM ROSCA BSP, DE 1 1/4"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45" s="42" t="s">
        <v>7</v>
      </c>
      <c r="F245" s="42">
        <v>5</v>
      </c>
      <c r="G245" s="43" t="str">
        <f>[1]sheet1!$E$2252</f>
        <v>37,70</v>
      </c>
      <c r="H245" s="42">
        <f t="shared" si="22"/>
        <v>188.5</v>
      </c>
      <c r="I245" s="159">
        <f t="shared" si="23"/>
        <v>232.51</v>
      </c>
    </row>
    <row r="246" spans="1:9" ht="30" customHeight="1" outlineLevel="1" x14ac:dyDescent="0.35">
      <c r="A246" s="160" t="s">
        <v>252</v>
      </c>
      <c r="B246" s="160" t="s">
        <v>25</v>
      </c>
      <c r="C246" s="160">
        <v>3262</v>
      </c>
      <c r="D246" s="180" t="str">
        <f>[1]sheet1!$B$2253</f>
        <v xml:space="preserve">FLANGE SEXTAVADO DE FERRO GALVANIZADO, COM ROSCA BSP, DE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46" s="161" t="s">
        <v>7</v>
      </c>
      <c r="F246" s="161">
        <v>5</v>
      </c>
      <c r="G246" s="162" t="str">
        <f>[1]sheet1!$E$2253</f>
        <v>16,50</v>
      </c>
      <c r="H246" s="161">
        <f t="shared" si="22"/>
        <v>82.5</v>
      </c>
      <c r="I246" s="163">
        <f t="shared" si="23"/>
        <v>101.76</v>
      </c>
    </row>
    <row r="247" spans="1:9" ht="30" customHeight="1" outlineLevel="1" x14ac:dyDescent="0.35">
      <c r="A247" s="40" t="s">
        <v>253</v>
      </c>
      <c r="B247" s="40" t="s">
        <v>25</v>
      </c>
      <c r="C247" s="40">
        <v>3264</v>
      </c>
      <c r="D247" s="52" t="str">
        <f>[1]sheet1!$B$2254</f>
        <v xml:space="preserve">FLANGE SEXTAVADO DE FERRO GALVANIZADO, COM ROSCA BSP, DE 1"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47" s="42" t="s">
        <v>7</v>
      </c>
      <c r="F247" s="42">
        <v>5</v>
      </c>
      <c r="G247" s="43" t="str">
        <f>[1]sheet1!$E$2254</f>
        <v>27,11</v>
      </c>
      <c r="H247" s="42">
        <f t="shared" si="22"/>
        <v>135.55000000000001</v>
      </c>
      <c r="I247" s="159">
        <f t="shared" si="23"/>
        <v>167.2</v>
      </c>
    </row>
    <row r="248" spans="1:9" ht="30" customHeight="1" outlineLevel="1" x14ac:dyDescent="0.35">
      <c r="A248" s="160" t="s">
        <v>254</v>
      </c>
      <c r="B248" s="160" t="s">
        <v>25</v>
      </c>
      <c r="C248" s="160">
        <v>3267</v>
      </c>
      <c r="D248" s="180" t="str">
        <f>[1]sheet1!$B$2255</f>
        <v xml:space="preserve">FLANGE SEXTAVADO DE FERRO GALVANIZADO, COM ROSCA BSP, DE 2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48" s="161" t="s">
        <v>7</v>
      </c>
      <c r="F248" s="161">
        <v>5</v>
      </c>
      <c r="G248" s="162" t="str">
        <f>[1]sheet1!$E$2255</f>
        <v>88,54</v>
      </c>
      <c r="H248" s="161">
        <f t="shared" si="22"/>
        <v>442.7</v>
      </c>
      <c r="I248" s="163">
        <f t="shared" si="23"/>
        <v>546.07000000000005</v>
      </c>
    </row>
    <row r="249" spans="1:9" ht="30" customHeight="1" outlineLevel="1" x14ac:dyDescent="0.35">
      <c r="A249" s="40" t="s">
        <v>255</v>
      </c>
      <c r="B249" s="40" t="s">
        <v>25</v>
      </c>
      <c r="C249" s="40">
        <v>3266</v>
      </c>
      <c r="D249" s="52" t="str">
        <f>[1]sheet1!$B$2256</f>
        <v xml:space="preserve">FLANGE SEXTAVADO DE FERRO GALVANIZADO, COM ROSCA BSP, DE 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49" s="42" t="s">
        <v>7</v>
      </c>
      <c r="F249" s="42">
        <v>5</v>
      </c>
      <c r="G249" s="43" t="str">
        <f>[1]sheet1!$E$2256</f>
        <v>56,33</v>
      </c>
      <c r="H249" s="42">
        <f t="shared" si="22"/>
        <v>281.64999999999998</v>
      </c>
      <c r="I249" s="159">
        <f t="shared" si="23"/>
        <v>347.42</v>
      </c>
    </row>
    <row r="250" spans="1:9" ht="30" customHeight="1" outlineLevel="1" x14ac:dyDescent="0.35">
      <c r="A250" s="160" t="s">
        <v>256</v>
      </c>
      <c r="B250" s="160" t="s">
        <v>25</v>
      </c>
      <c r="C250" s="160">
        <v>3263</v>
      </c>
      <c r="D250" s="180" t="str">
        <f>[1]sheet1!$B$2257</f>
        <v xml:space="preserve">FLANGE SEXTAVADO DE FERRO GALVANIZADO, COM ROSCA BSP, DE 3/4"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50" s="161" t="s">
        <v>7</v>
      </c>
      <c r="F250" s="161">
        <v>5</v>
      </c>
      <c r="G250" s="162" t="str">
        <f>[1]sheet1!$E$2257</f>
        <v>22,54</v>
      </c>
      <c r="H250" s="161">
        <f t="shared" si="22"/>
        <v>112.7</v>
      </c>
      <c r="I250" s="163">
        <f t="shared" si="23"/>
        <v>139.02000000000001</v>
      </c>
    </row>
    <row r="251" spans="1:9" ht="30" customHeight="1" outlineLevel="1" x14ac:dyDescent="0.35">
      <c r="A251" s="40" t="s">
        <v>257</v>
      </c>
      <c r="B251" s="40" t="s">
        <v>25</v>
      </c>
      <c r="C251" s="40">
        <v>3268</v>
      </c>
      <c r="D251" s="52" t="str">
        <f>[1]sheet1!$B$2258</f>
        <v xml:space="preserve">FLANGE SEXTAVADO DE FERRO GALVANIZADO, COM ROSCA BSP, DE 3"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51" s="42" t="s">
        <v>7</v>
      </c>
      <c r="F251" s="42">
        <v>5</v>
      </c>
      <c r="G251" s="43" t="str">
        <f>[1]sheet1!$E$2258</f>
        <v>119,71</v>
      </c>
      <c r="H251" s="42">
        <f t="shared" si="22"/>
        <v>598.54999999999995</v>
      </c>
      <c r="I251" s="159">
        <f t="shared" si="23"/>
        <v>738.31</v>
      </c>
    </row>
    <row r="252" spans="1:9" ht="30" customHeight="1" outlineLevel="1" x14ac:dyDescent="0.35">
      <c r="A252" s="160" t="s">
        <v>258</v>
      </c>
      <c r="B252" s="160" t="s">
        <v>25</v>
      </c>
      <c r="C252" s="160">
        <v>3271</v>
      </c>
      <c r="D252" s="180" t="str">
        <f>[1]sheet1!$B$2259</f>
        <v xml:space="preserve">FLANGE SEXTAVADO DE FERRO GALVANIZADO, COM ROSCA BSP, DE 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52" s="161" t="s">
        <v>7</v>
      </c>
      <c r="F252" s="161">
        <v>5</v>
      </c>
      <c r="G252" s="162" t="str">
        <f>[1]sheet1!$E$2259</f>
        <v>176,98</v>
      </c>
      <c r="H252" s="161">
        <f t="shared" si="22"/>
        <v>884.9</v>
      </c>
      <c r="I252" s="163">
        <f t="shared" si="23"/>
        <v>1091.52</v>
      </c>
    </row>
    <row r="253" spans="1:9" ht="30" customHeight="1" outlineLevel="1" thickBot="1" x14ac:dyDescent="0.4">
      <c r="A253" s="40" t="s">
        <v>259</v>
      </c>
      <c r="B253" s="40" t="s">
        <v>25</v>
      </c>
      <c r="C253" s="40">
        <v>3270</v>
      </c>
      <c r="D253" s="52" t="str">
        <f>[1]sheet1!$B$2260</f>
        <v xml:space="preserve">FLANGE SEXTAVADO DE FERRO GALVANIZADO, COM ROSCA BSP, DE 6"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253" s="42" t="s">
        <v>7</v>
      </c>
      <c r="F253" s="42">
        <v>5</v>
      </c>
      <c r="G253" s="43" t="str">
        <f>[1]sheet1!$E$2260</f>
        <v>297,34</v>
      </c>
      <c r="H253" s="42">
        <f t="shared" si="22"/>
        <v>1486.7</v>
      </c>
      <c r="I253" s="159">
        <f t="shared" si="23"/>
        <v>1833.84</v>
      </c>
    </row>
    <row r="254" spans="1:9" ht="34.5" customHeight="1" thickBot="1" x14ac:dyDescent="0.4">
      <c r="A254" s="469" t="s">
        <v>406</v>
      </c>
      <c r="B254" s="470"/>
      <c r="C254" s="470"/>
      <c r="D254" s="470"/>
      <c r="E254" s="470"/>
      <c r="F254" s="470"/>
      <c r="G254" s="470"/>
      <c r="H254" s="471"/>
      <c r="I254" s="168">
        <f>SUM(I241:I253)</f>
        <v>5696.79</v>
      </c>
    </row>
    <row r="255" spans="1:9" ht="7" customHeight="1" thickBot="1" x14ac:dyDescent="0.4">
      <c r="A255" s="466"/>
      <c r="B255" s="466"/>
      <c r="C255" s="466"/>
      <c r="D255" s="466"/>
      <c r="E255" s="466"/>
      <c r="F255" s="466"/>
      <c r="G255" s="466"/>
      <c r="H255" s="466"/>
      <c r="I255" s="466"/>
    </row>
    <row r="256" spans="1:9" ht="21" customHeight="1" x14ac:dyDescent="0.35">
      <c r="A256" s="458" t="s">
        <v>470</v>
      </c>
      <c r="B256" s="459"/>
      <c r="C256" s="459"/>
      <c r="D256" s="459"/>
      <c r="E256" s="459"/>
      <c r="F256" s="459"/>
      <c r="G256" s="459"/>
      <c r="H256" s="460"/>
      <c r="I256" s="464">
        <f>I254+I237+I196+I51+I37+I24</f>
        <v>644131.17999999993</v>
      </c>
    </row>
    <row r="257" spans="1:9" ht="24.5" customHeight="1" thickBot="1" x14ac:dyDescent="0.4">
      <c r="A257" s="461"/>
      <c r="B257" s="462"/>
      <c r="C257" s="462"/>
      <c r="D257" s="462"/>
      <c r="E257" s="462"/>
      <c r="F257" s="462"/>
      <c r="G257" s="462"/>
      <c r="H257" s="463"/>
      <c r="I257" s="465"/>
    </row>
    <row r="258" spans="1:9" x14ac:dyDescent="0.35">
      <c r="A258" s="450" t="s">
        <v>421</v>
      </c>
      <c r="B258" s="451"/>
      <c r="C258" s="451"/>
      <c r="D258" s="451"/>
      <c r="E258" s="451"/>
      <c r="F258" s="451"/>
      <c r="G258" s="451"/>
      <c r="H258" s="452"/>
      <c r="I258" s="456">
        <v>12</v>
      </c>
    </row>
    <row r="259" spans="1:9" ht="16" thickBot="1" x14ac:dyDescent="0.4">
      <c r="A259" s="453"/>
      <c r="B259" s="454"/>
      <c r="C259" s="454"/>
      <c r="D259" s="454"/>
      <c r="E259" s="454"/>
      <c r="F259" s="454"/>
      <c r="G259" s="454"/>
      <c r="H259" s="455"/>
      <c r="I259" s="457"/>
    </row>
    <row r="260" spans="1:9" ht="27.5" customHeight="1" x14ac:dyDescent="0.35">
      <c r="A260" s="458" t="s">
        <v>504</v>
      </c>
      <c r="B260" s="459"/>
      <c r="C260" s="459"/>
      <c r="D260" s="459"/>
      <c r="E260" s="459"/>
      <c r="F260" s="459"/>
      <c r="G260" s="459"/>
      <c r="H260" s="460"/>
      <c r="I260" s="464">
        <f>I256/I258</f>
        <v>53677.598333333328</v>
      </c>
    </row>
    <row r="261" spans="1:9" ht="27.5" customHeight="1" thickBot="1" x14ac:dyDescent="0.4">
      <c r="A261" s="461"/>
      <c r="B261" s="462"/>
      <c r="C261" s="462"/>
      <c r="D261" s="462"/>
      <c r="E261" s="462"/>
      <c r="F261" s="462"/>
      <c r="G261" s="462"/>
      <c r="H261" s="463"/>
      <c r="I261" s="465"/>
    </row>
  </sheetData>
  <mergeCells count="32">
    <mergeCell ref="A1:I4"/>
    <mergeCell ref="A5:I5"/>
    <mergeCell ref="A6:I6"/>
    <mergeCell ref="B14:I14"/>
    <mergeCell ref="A37:H37"/>
    <mergeCell ref="A12:I12"/>
    <mergeCell ref="A25:I25"/>
    <mergeCell ref="G9:H9"/>
    <mergeCell ref="G10:H10"/>
    <mergeCell ref="A11:I11"/>
    <mergeCell ref="B7:I7"/>
    <mergeCell ref="B8:F8"/>
    <mergeCell ref="B9:F9"/>
    <mergeCell ref="B10:F10"/>
    <mergeCell ref="B26:I26"/>
    <mergeCell ref="A24:H24"/>
    <mergeCell ref="A255:I255"/>
    <mergeCell ref="A38:I38"/>
    <mergeCell ref="B39:I39"/>
    <mergeCell ref="B54:I54"/>
    <mergeCell ref="A196:H196"/>
    <mergeCell ref="B197:I197"/>
    <mergeCell ref="A237:H237"/>
    <mergeCell ref="B239:I239"/>
    <mergeCell ref="A254:H254"/>
    <mergeCell ref="A51:H51"/>
    <mergeCell ref="A258:H259"/>
    <mergeCell ref="I258:I259"/>
    <mergeCell ref="A260:H261"/>
    <mergeCell ref="I260:I261"/>
    <mergeCell ref="A256:H257"/>
    <mergeCell ref="I256:I257"/>
  </mergeCells>
  <phoneticPr fontId="19" type="noConversion"/>
  <printOptions horizontalCentered="1"/>
  <pageMargins left="0.51181102362204722" right="0.51181102362204722" top="0.35433070866141736" bottom="0.55118110236220474" header="0.51181102362204722" footer="0.31496062992125984"/>
  <pageSetup paperSize="9" scale="56" firstPageNumber="0" fitToHeight="0" orientation="portrait" horizontalDpi="300" verticalDpi="300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H47"/>
  <sheetViews>
    <sheetView view="pageBreakPreview" topLeftCell="A7" zoomScaleNormal="115" zoomScaleSheetLayoutView="100" workbookViewId="0">
      <selection activeCell="B10" sqref="B10:H10"/>
    </sheetView>
  </sheetViews>
  <sheetFormatPr defaultColWidth="9.1796875" defaultRowHeight="14.5" x14ac:dyDescent="0.35"/>
  <cols>
    <col min="1" max="1" width="5.81640625" style="1" customWidth="1"/>
    <col min="2" max="2" width="8.6328125" style="1" customWidth="1"/>
    <col min="3" max="3" width="7.26953125" style="1" customWidth="1"/>
    <col min="4" max="4" width="62.54296875" customWidth="1"/>
    <col min="5" max="5" width="8" style="1" customWidth="1"/>
    <col min="6" max="6" width="12.54296875" style="1" customWidth="1"/>
    <col min="7" max="7" width="15.26953125" style="1" customWidth="1"/>
    <col min="8" max="8" width="15.54296875" style="1" customWidth="1"/>
  </cols>
  <sheetData>
    <row r="1" spans="1:8" ht="14.5" customHeight="1" x14ac:dyDescent="0.35">
      <c r="A1" s="362" t="s">
        <v>17</v>
      </c>
      <c r="B1" s="362"/>
      <c r="C1" s="362"/>
      <c r="D1" s="362"/>
      <c r="E1" s="362"/>
      <c r="F1" s="362"/>
      <c r="G1" s="362"/>
      <c r="H1" s="362"/>
    </row>
    <row r="2" spans="1:8" x14ac:dyDescent="0.35">
      <c r="A2" s="362"/>
      <c r="B2" s="362"/>
      <c r="C2" s="362"/>
      <c r="D2" s="362"/>
      <c r="E2" s="362"/>
      <c r="F2" s="362"/>
      <c r="G2" s="362"/>
      <c r="H2" s="362"/>
    </row>
    <row r="3" spans="1:8" ht="76" customHeight="1" x14ac:dyDescent="0.35">
      <c r="A3" s="362"/>
      <c r="B3" s="362"/>
      <c r="C3" s="362"/>
      <c r="D3" s="362"/>
      <c r="E3" s="362"/>
      <c r="F3" s="362"/>
      <c r="G3" s="362"/>
      <c r="H3" s="362"/>
    </row>
    <row r="4" spans="1:8" x14ac:dyDescent="0.35">
      <c r="A4" s="362"/>
      <c r="B4" s="362"/>
      <c r="C4" s="362"/>
      <c r="D4" s="362"/>
      <c r="E4" s="362"/>
      <c r="F4" s="362"/>
      <c r="G4" s="362"/>
      <c r="H4" s="362"/>
    </row>
    <row r="5" spans="1:8" ht="4" customHeight="1" x14ac:dyDescent="0.35">
      <c r="A5" s="27"/>
      <c r="B5" s="28"/>
      <c r="C5" s="28"/>
      <c r="D5" s="29"/>
      <c r="E5" s="28"/>
      <c r="F5" s="28"/>
      <c r="G5" s="28"/>
      <c r="H5" s="30"/>
    </row>
    <row r="6" spans="1:8" ht="30" customHeight="1" x14ac:dyDescent="0.35">
      <c r="A6" s="492" t="s">
        <v>419</v>
      </c>
      <c r="B6" s="492"/>
      <c r="C6" s="492"/>
      <c r="D6" s="492"/>
      <c r="E6" s="492"/>
      <c r="F6" s="492"/>
      <c r="G6" s="492"/>
      <c r="H6" s="492"/>
    </row>
    <row r="7" spans="1:8" ht="86" customHeight="1" thickBot="1" x14ac:dyDescent="0.4">
      <c r="A7" s="68" t="s">
        <v>0</v>
      </c>
      <c r="B7" s="493" t="s">
        <v>433</v>
      </c>
      <c r="C7" s="493"/>
      <c r="D7" s="493"/>
      <c r="E7" s="493"/>
      <c r="F7" s="98" t="s">
        <v>18</v>
      </c>
      <c r="G7" s="494" t="s">
        <v>131</v>
      </c>
      <c r="H7" s="495"/>
    </row>
    <row r="8" spans="1:8" ht="19" customHeight="1" thickBot="1" x14ac:dyDescent="0.4">
      <c r="A8" s="90" t="s">
        <v>1</v>
      </c>
      <c r="B8" s="367" t="s">
        <v>2</v>
      </c>
      <c r="C8" s="368"/>
      <c r="D8" s="368"/>
      <c r="E8" s="368"/>
      <c r="F8" s="368"/>
      <c r="G8" s="368"/>
      <c r="H8" s="368"/>
    </row>
    <row r="9" spans="1:8" ht="20.5" customHeight="1" thickBot="1" x14ac:dyDescent="0.4">
      <c r="A9" s="90" t="s">
        <v>3</v>
      </c>
      <c r="B9" s="367" t="s">
        <v>149</v>
      </c>
      <c r="C9" s="368"/>
      <c r="D9" s="368"/>
      <c r="E9" s="368"/>
      <c r="F9" s="368"/>
      <c r="G9" s="368"/>
      <c r="H9" s="368"/>
    </row>
    <row r="10" spans="1:8" ht="20" customHeight="1" thickBot="1" x14ac:dyDescent="0.4">
      <c r="A10" s="116" t="s">
        <v>4</v>
      </c>
      <c r="B10" s="430" t="s">
        <v>163</v>
      </c>
      <c r="C10" s="431"/>
      <c r="D10" s="431"/>
      <c r="E10" s="431"/>
      <c r="F10" s="431"/>
      <c r="G10" s="431"/>
      <c r="H10" s="431"/>
    </row>
    <row r="11" spans="1:8" ht="23" customHeight="1" thickBot="1" x14ac:dyDescent="0.4">
      <c r="A11" s="427" t="s">
        <v>436</v>
      </c>
      <c r="B11" s="428"/>
      <c r="C11" s="428"/>
      <c r="D11" s="428"/>
      <c r="E11" s="428"/>
      <c r="F11" s="428"/>
      <c r="G11" s="428"/>
      <c r="H11" s="429"/>
    </row>
    <row r="12" spans="1:8" s="33" customFormat="1" ht="13" x14ac:dyDescent="0.3">
      <c r="A12" s="6"/>
      <c r="B12" s="31"/>
      <c r="C12" s="5"/>
      <c r="D12" s="32"/>
      <c r="E12" s="6"/>
      <c r="F12" s="5"/>
      <c r="G12" s="6"/>
      <c r="H12" s="7"/>
    </row>
    <row r="13" spans="1:8" s="20" customFormat="1" ht="25" customHeight="1" x14ac:dyDescent="0.35">
      <c r="A13" s="99" t="s">
        <v>5</v>
      </c>
      <c r="B13" s="99" t="s">
        <v>19</v>
      </c>
      <c r="C13" s="99" t="s">
        <v>20</v>
      </c>
      <c r="D13" s="99" t="s">
        <v>6</v>
      </c>
      <c r="E13" s="99" t="s">
        <v>21</v>
      </c>
      <c r="F13" s="99" t="s">
        <v>22</v>
      </c>
      <c r="G13" s="99" t="s">
        <v>23</v>
      </c>
      <c r="H13" s="99" t="s">
        <v>8</v>
      </c>
    </row>
    <row r="14" spans="1:8" s="13" customFormat="1" ht="25" customHeight="1" x14ac:dyDescent="0.25">
      <c r="A14" s="496" t="s">
        <v>435</v>
      </c>
      <c r="B14" s="496"/>
      <c r="C14" s="496"/>
      <c r="D14" s="496"/>
      <c r="E14" s="496"/>
      <c r="F14" s="496"/>
      <c r="G14" s="496"/>
      <c r="H14" s="496"/>
    </row>
    <row r="15" spans="1:8" s="13" customFormat="1" ht="25" customHeight="1" x14ac:dyDescent="0.25">
      <c r="A15" s="100">
        <v>1</v>
      </c>
      <c r="B15" s="100"/>
      <c r="C15" s="100"/>
      <c r="D15" s="100" t="s">
        <v>24</v>
      </c>
      <c r="E15" s="100"/>
      <c r="F15" s="101"/>
      <c r="G15" s="102"/>
      <c r="H15" s="102"/>
    </row>
    <row r="16" spans="1:8" s="14" customFormat="1" ht="25" customHeight="1" x14ac:dyDescent="0.25">
      <c r="A16" s="103" t="s">
        <v>9</v>
      </c>
      <c r="B16" s="104">
        <v>2696</v>
      </c>
      <c r="C16" s="103" t="s">
        <v>25</v>
      </c>
      <c r="D16" s="105" t="s">
        <v>26</v>
      </c>
      <c r="E16" s="104" t="s">
        <v>27</v>
      </c>
      <c r="F16" s="106">
        <v>1</v>
      </c>
      <c r="G16" s="107">
        <v>15.43</v>
      </c>
      <c r="H16" s="107">
        <f>ROUND(F16*G16,2)</f>
        <v>15.43</v>
      </c>
    </row>
    <row r="17" spans="1:8" s="14" customFormat="1" ht="25" customHeight="1" x14ac:dyDescent="0.25">
      <c r="A17" s="103" t="s">
        <v>14</v>
      </c>
      <c r="B17" s="104">
        <v>246</v>
      </c>
      <c r="C17" s="103" t="str">
        <f>C16</f>
        <v>SINAPI</v>
      </c>
      <c r="D17" s="105" t="s">
        <v>28</v>
      </c>
      <c r="E17" s="103" t="s">
        <v>27</v>
      </c>
      <c r="F17" s="108">
        <v>1</v>
      </c>
      <c r="G17" s="107">
        <v>10.92</v>
      </c>
      <c r="H17" s="107">
        <f>G17</f>
        <v>10.92</v>
      </c>
    </row>
    <row r="18" spans="1:8" s="14" customFormat="1" ht="25" customHeight="1" x14ac:dyDescent="0.25">
      <c r="A18" s="490" t="s">
        <v>29</v>
      </c>
      <c r="B18" s="490"/>
      <c r="C18" s="490"/>
      <c r="D18" s="490"/>
      <c r="E18" s="490"/>
      <c r="F18" s="490"/>
      <c r="G18" s="490"/>
      <c r="H18" s="107">
        <f>H16+H17</f>
        <v>26.35</v>
      </c>
    </row>
    <row r="19" spans="1:8" s="14" customFormat="1" ht="25" customHeight="1" x14ac:dyDescent="0.25">
      <c r="A19" s="490" t="s">
        <v>30</v>
      </c>
      <c r="B19" s="490"/>
      <c r="C19" s="490"/>
      <c r="D19" s="490"/>
      <c r="E19" s="490"/>
      <c r="F19" s="490"/>
      <c r="G19" s="109">
        <v>0.81530000000000002</v>
      </c>
      <c r="H19" s="107">
        <f>ROUND(H18*G19,2)</f>
        <v>21.48</v>
      </c>
    </row>
    <row r="20" spans="1:8" s="14" customFormat="1" ht="35.5" customHeight="1" x14ac:dyDescent="0.25">
      <c r="A20" s="103" t="s">
        <v>15</v>
      </c>
      <c r="B20" s="104">
        <v>43461</v>
      </c>
      <c r="C20" s="103" t="str">
        <f>C17</f>
        <v>SINAPI</v>
      </c>
      <c r="D20" s="105" t="s">
        <v>31</v>
      </c>
      <c r="E20" s="103" t="s">
        <v>27</v>
      </c>
      <c r="F20" s="108">
        <v>1</v>
      </c>
      <c r="G20" s="107">
        <v>0.32</v>
      </c>
      <c r="H20" s="107">
        <f>G20</f>
        <v>0.32</v>
      </c>
    </row>
    <row r="21" spans="1:8" s="13" customFormat="1" ht="25" customHeight="1" x14ac:dyDescent="0.25">
      <c r="A21" s="490" t="s">
        <v>32</v>
      </c>
      <c r="B21" s="490"/>
      <c r="C21" s="490"/>
      <c r="D21" s="490"/>
      <c r="E21" s="490"/>
      <c r="F21" s="490"/>
      <c r="G21" s="490"/>
      <c r="H21" s="107">
        <f>H18+H19+H20</f>
        <v>48.15</v>
      </c>
    </row>
    <row r="22" spans="1:8" s="20" customFormat="1" ht="6" customHeight="1" x14ac:dyDescent="0.35">
      <c r="A22" s="491"/>
      <c r="B22" s="491"/>
      <c r="C22" s="491"/>
      <c r="D22" s="491"/>
      <c r="E22" s="491"/>
      <c r="F22" s="491"/>
      <c r="G22" s="491"/>
      <c r="H22" s="491"/>
    </row>
    <row r="23" spans="1:8" s="20" customFormat="1" ht="25" customHeight="1" x14ac:dyDescent="0.35">
      <c r="A23" s="99" t="s">
        <v>5</v>
      </c>
      <c r="B23" s="99" t="s">
        <v>19</v>
      </c>
      <c r="C23" s="99" t="s">
        <v>20</v>
      </c>
      <c r="D23" s="99" t="s">
        <v>6</v>
      </c>
      <c r="E23" s="99" t="s">
        <v>21</v>
      </c>
      <c r="F23" s="99" t="s">
        <v>22</v>
      </c>
      <c r="G23" s="99" t="s">
        <v>23</v>
      </c>
      <c r="H23" s="99" t="s">
        <v>8</v>
      </c>
    </row>
    <row r="24" spans="1:8" ht="25" customHeight="1" x14ac:dyDescent="0.35">
      <c r="A24" s="100">
        <v>2</v>
      </c>
      <c r="B24" s="100"/>
      <c r="C24" s="100"/>
      <c r="D24" s="100" t="s">
        <v>33</v>
      </c>
      <c r="E24" s="100"/>
      <c r="F24" s="101"/>
      <c r="G24" s="102"/>
      <c r="H24" s="102"/>
    </row>
    <row r="25" spans="1:8" ht="25" customHeight="1" x14ac:dyDescent="0.35">
      <c r="A25" s="103" t="s">
        <v>10</v>
      </c>
      <c r="B25" s="104">
        <v>2436</v>
      </c>
      <c r="C25" s="103" t="s">
        <v>25</v>
      </c>
      <c r="D25" s="105" t="s">
        <v>34</v>
      </c>
      <c r="E25" s="104" t="s">
        <v>27</v>
      </c>
      <c r="F25" s="106">
        <v>1</v>
      </c>
      <c r="G25" s="107">
        <v>15.43</v>
      </c>
      <c r="H25" s="107">
        <f>ROUND(F25*G25,2)</f>
        <v>15.43</v>
      </c>
    </row>
    <row r="26" spans="1:8" ht="25" customHeight="1" x14ac:dyDescent="0.35">
      <c r="A26" s="103" t="s">
        <v>11</v>
      </c>
      <c r="B26" s="104">
        <v>247</v>
      </c>
      <c r="C26" s="103" t="str">
        <f>C25</f>
        <v>SINAPI</v>
      </c>
      <c r="D26" s="105" t="s">
        <v>35</v>
      </c>
      <c r="E26" s="103" t="s">
        <v>27</v>
      </c>
      <c r="F26" s="108">
        <v>1</v>
      </c>
      <c r="G26" s="107">
        <v>10.83</v>
      </c>
      <c r="H26" s="107">
        <f>G26</f>
        <v>10.83</v>
      </c>
    </row>
    <row r="27" spans="1:8" ht="25" customHeight="1" x14ac:dyDescent="0.35">
      <c r="A27" s="490" t="s">
        <v>29</v>
      </c>
      <c r="B27" s="490"/>
      <c r="C27" s="490"/>
      <c r="D27" s="490"/>
      <c r="E27" s="490"/>
      <c r="F27" s="490"/>
      <c r="G27" s="490"/>
      <c r="H27" s="107">
        <f>H25+H26</f>
        <v>26.259999999999998</v>
      </c>
    </row>
    <row r="28" spans="1:8" ht="25" customHeight="1" x14ac:dyDescent="0.35">
      <c r="A28" s="490" t="s">
        <v>30</v>
      </c>
      <c r="B28" s="490"/>
      <c r="C28" s="490"/>
      <c r="D28" s="490"/>
      <c r="E28" s="490"/>
      <c r="F28" s="490"/>
      <c r="G28" s="109">
        <v>0.81530000000000002</v>
      </c>
      <c r="H28" s="107">
        <f>ROUND(H27*G28,2)</f>
        <v>21.41</v>
      </c>
    </row>
    <row r="29" spans="1:8" ht="33.5" customHeight="1" x14ac:dyDescent="0.35">
      <c r="A29" s="103" t="s">
        <v>12</v>
      </c>
      <c r="B29" s="104">
        <v>43460</v>
      </c>
      <c r="C29" s="103" t="str">
        <f>C26</f>
        <v>SINAPI</v>
      </c>
      <c r="D29" s="105" t="s">
        <v>36</v>
      </c>
      <c r="E29" s="103" t="s">
        <v>27</v>
      </c>
      <c r="F29" s="108">
        <v>1</v>
      </c>
      <c r="G29" s="107">
        <v>0.78</v>
      </c>
      <c r="H29" s="107">
        <f>G29</f>
        <v>0.78</v>
      </c>
    </row>
    <row r="30" spans="1:8" ht="25" customHeight="1" x14ac:dyDescent="0.35">
      <c r="A30" s="490" t="s">
        <v>32</v>
      </c>
      <c r="B30" s="490"/>
      <c r="C30" s="490"/>
      <c r="D30" s="490"/>
      <c r="E30" s="490"/>
      <c r="F30" s="490"/>
      <c r="G30" s="490"/>
      <c r="H30" s="107">
        <f>H27+H28+H29</f>
        <v>48.45</v>
      </c>
    </row>
    <row r="31" spans="1:8" ht="5.5" customHeight="1" x14ac:dyDescent="0.35">
      <c r="A31" s="491"/>
      <c r="B31" s="491"/>
      <c r="C31" s="491"/>
      <c r="D31" s="491"/>
      <c r="E31" s="491"/>
      <c r="F31" s="491"/>
      <c r="G31" s="491"/>
      <c r="H31" s="491"/>
    </row>
    <row r="32" spans="1:8" ht="25" customHeight="1" x14ac:dyDescent="0.35">
      <c r="A32" s="99" t="s">
        <v>5</v>
      </c>
      <c r="B32" s="99" t="s">
        <v>19</v>
      </c>
      <c r="C32" s="99" t="s">
        <v>20</v>
      </c>
      <c r="D32" s="99" t="s">
        <v>6</v>
      </c>
      <c r="E32" s="99" t="s">
        <v>21</v>
      </c>
      <c r="F32" s="99" t="s">
        <v>22</v>
      </c>
      <c r="G32" s="99" t="s">
        <v>23</v>
      </c>
      <c r="H32" s="99" t="s">
        <v>8</v>
      </c>
    </row>
    <row r="33" spans="1:8" ht="25" customHeight="1" x14ac:dyDescent="0.35">
      <c r="A33" s="100">
        <v>3</v>
      </c>
      <c r="B33" s="100"/>
      <c r="C33" s="100"/>
      <c r="D33" s="100" t="s">
        <v>37</v>
      </c>
      <c r="E33" s="100"/>
      <c r="F33" s="101"/>
      <c r="G33" s="102"/>
      <c r="H33" s="102"/>
    </row>
    <row r="34" spans="1:8" ht="25" customHeight="1" x14ac:dyDescent="0.35">
      <c r="A34" s="103" t="s">
        <v>38</v>
      </c>
      <c r="B34" s="104">
        <v>4083</v>
      </c>
      <c r="C34" s="103" t="s">
        <v>25</v>
      </c>
      <c r="D34" s="105" t="s">
        <v>39</v>
      </c>
      <c r="E34" s="104" t="s">
        <v>27</v>
      </c>
      <c r="F34" s="106">
        <v>1</v>
      </c>
      <c r="G34" s="107">
        <v>15.43</v>
      </c>
      <c r="H34" s="107">
        <f>ROUND(F34*G34,2)</f>
        <v>15.43</v>
      </c>
    </row>
    <row r="35" spans="1:8" ht="25" customHeight="1" x14ac:dyDescent="0.35">
      <c r="A35" s="103" t="s">
        <v>40</v>
      </c>
      <c r="B35" s="104">
        <v>6121</v>
      </c>
      <c r="C35" s="103" t="str">
        <f>C34</f>
        <v>SINAPI</v>
      </c>
      <c r="D35" s="105" t="s">
        <v>41</v>
      </c>
      <c r="E35" s="103" t="s">
        <v>27</v>
      </c>
      <c r="F35" s="108">
        <v>1</v>
      </c>
      <c r="G35" s="107">
        <v>10.83</v>
      </c>
      <c r="H35" s="107">
        <f>G35</f>
        <v>10.83</v>
      </c>
    </row>
    <row r="36" spans="1:8" ht="25" customHeight="1" x14ac:dyDescent="0.35">
      <c r="A36" s="490" t="s">
        <v>29</v>
      </c>
      <c r="B36" s="490"/>
      <c r="C36" s="490"/>
      <c r="D36" s="490"/>
      <c r="E36" s="490"/>
      <c r="F36" s="490"/>
      <c r="G36" s="490"/>
      <c r="H36" s="107">
        <f>H34+H35</f>
        <v>26.259999999999998</v>
      </c>
    </row>
    <row r="37" spans="1:8" ht="25" customHeight="1" x14ac:dyDescent="0.35">
      <c r="A37" s="490" t="s">
        <v>30</v>
      </c>
      <c r="B37" s="490"/>
      <c r="C37" s="490"/>
      <c r="D37" s="490"/>
      <c r="E37" s="490"/>
      <c r="F37" s="490"/>
      <c r="G37" s="109">
        <v>0.81530000000000002</v>
      </c>
      <c r="H37" s="107">
        <f>ROUND(H36*G37,2)</f>
        <v>21.41</v>
      </c>
    </row>
    <row r="38" spans="1:8" ht="36.5" customHeight="1" x14ac:dyDescent="0.35">
      <c r="A38" s="103" t="s">
        <v>42</v>
      </c>
      <c r="B38" s="104">
        <v>43463</v>
      </c>
      <c r="C38" s="103" t="str">
        <f>C35</f>
        <v>SINAPI</v>
      </c>
      <c r="D38" s="105" t="s">
        <v>43</v>
      </c>
      <c r="E38" s="103" t="s">
        <v>27</v>
      </c>
      <c r="F38" s="108">
        <v>1</v>
      </c>
      <c r="G38" s="107">
        <v>0.1</v>
      </c>
      <c r="H38" s="107">
        <f>G38</f>
        <v>0.1</v>
      </c>
    </row>
    <row r="39" spans="1:8" ht="25" customHeight="1" x14ac:dyDescent="0.35">
      <c r="A39" s="490" t="s">
        <v>32</v>
      </c>
      <c r="B39" s="490"/>
      <c r="C39" s="490"/>
      <c r="D39" s="490"/>
      <c r="E39" s="490"/>
      <c r="F39" s="490"/>
      <c r="G39" s="490"/>
      <c r="H39" s="107">
        <f>H36+H37+H38</f>
        <v>47.77</v>
      </c>
    </row>
    <row r="40" spans="1:8" ht="4" customHeight="1" x14ac:dyDescent="0.35">
      <c r="A40" s="491"/>
      <c r="B40" s="491"/>
      <c r="C40" s="491"/>
      <c r="D40" s="491"/>
      <c r="E40" s="491"/>
      <c r="F40" s="491"/>
      <c r="G40" s="491"/>
      <c r="H40" s="491"/>
    </row>
    <row r="41" spans="1:8" ht="25" customHeight="1" x14ac:dyDescent="0.35">
      <c r="A41" s="99" t="s">
        <v>5</v>
      </c>
      <c r="B41" s="99" t="s">
        <v>19</v>
      </c>
      <c r="C41" s="99" t="s">
        <v>20</v>
      </c>
      <c r="D41" s="99" t="s">
        <v>6</v>
      </c>
      <c r="E41" s="99" t="s">
        <v>21</v>
      </c>
      <c r="F41" s="99" t="s">
        <v>22</v>
      </c>
      <c r="G41" s="99" t="s">
        <v>23</v>
      </c>
      <c r="H41" s="99" t="s">
        <v>8</v>
      </c>
    </row>
    <row r="42" spans="1:8" ht="25" customHeight="1" x14ac:dyDescent="0.35">
      <c r="A42" s="100">
        <v>4</v>
      </c>
      <c r="B42" s="100"/>
      <c r="C42" s="100"/>
      <c r="D42" s="110" t="s">
        <v>127</v>
      </c>
      <c r="E42" s="100"/>
      <c r="F42" s="101"/>
      <c r="G42" s="102"/>
      <c r="H42" s="102"/>
    </row>
    <row r="43" spans="1:8" ht="25" customHeight="1" x14ac:dyDescent="0.35">
      <c r="A43" s="103" t="s">
        <v>44</v>
      </c>
      <c r="B43" s="104">
        <v>34780</v>
      </c>
      <c r="C43" s="103" t="s">
        <v>25</v>
      </c>
      <c r="D43" s="105" t="s">
        <v>145</v>
      </c>
      <c r="E43" s="104" t="s">
        <v>27</v>
      </c>
      <c r="F43" s="106">
        <v>1</v>
      </c>
      <c r="G43" s="107">
        <v>88.29</v>
      </c>
      <c r="H43" s="107">
        <f>ROUND(F43*G43,2)</f>
        <v>88.29</v>
      </c>
    </row>
    <row r="44" spans="1:8" ht="25" customHeight="1" x14ac:dyDescent="0.35">
      <c r="A44" s="490" t="s">
        <v>29</v>
      </c>
      <c r="B44" s="490"/>
      <c r="C44" s="490"/>
      <c r="D44" s="490"/>
      <c r="E44" s="490"/>
      <c r="F44" s="490"/>
      <c r="G44" s="490"/>
      <c r="H44" s="107">
        <f>H43</f>
        <v>88.29</v>
      </c>
    </row>
    <row r="45" spans="1:8" ht="25" customHeight="1" x14ac:dyDescent="0.35">
      <c r="A45" s="490" t="s">
        <v>30</v>
      </c>
      <c r="B45" s="490"/>
      <c r="C45" s="490"/>
      <c r="D45" s="490"/>
      <c r="E45" s="490"/>
      <c r="F45" s="490"/>
      <c r="G45" s="109">
        <v>0.81530000000000002</v>
      </c>
      <c r="H45" s="107">
        <f>ROUND(H44*G45,2)</f>
        <v>71.98</v>
      </c>
    </row>
    <row r="46" spans="1:8" ht="15.5" x14ac:dyDescent="0.35">
      <c r="A46" s="490" t="s">
        <v>32</v>
      </c>
      <c r="B46" s="490"/>
      <c r="C46" s="490"/>
      <c r="D46" s="490"/>
      <c r="E46" s="490"/>
      <c r="F46" s="490"/>
      <c r="G46" s="490"/>
      <c r="H46" s="107">
        <f>H44+H45</f>
        <v>160.27000000000001</v>
      </c>
    </row>
    <row r="47" spans="1:8" ht="4" customHeight="1" x14ac:dyDescent="0.35">
      <c r="A47" s="491"/>
      <c r="B47" s="491"/>
      <c r="C47" s="491"/>
      <c r="D47" s="491"/>
      <c r="E47" s="491"/>
      <c r="F47" s="491"/>
      <c r="G47" s="491"/>
      <c r="H47" s="491"/>
    </row>
  </sheetData>
  <mergeCells count="25">
    <mergeCell ref="A47:H47"/>
    <mergeCell ref="A11:H11"/>
    <mergeCell ref="A14:H14"/>
    <mergeCell ref="A18:G18"/>
    <mergeCell ref="A19:F19"/>
    <mergeCell ref="A21:G21"/>
    <mergeCell ref="A22:H22"/>
    <mergeCell ref="A27:G27"/>
    <mergeCell ref="A28:F28"/>
    <mergeCell ref="A30:G30"/>
    <mergeCell ref="A31:H31"/>
    <mergeCell ref="A36:G36"/>
    <mergeCell ref="A46:G46"/>
    <mergeCell ref="A44:G44"/>
    <mergeCell ref="A45:F45"/>
    <mergeCell ref="A1:H4"/>
    <mergeCell ref="A6:H6"/>
    <mergeCell ref="B7:E7"/>
    <mergeCell ref="G7:H7"/>
    <mergeCell ref="B8:H8"/>
    <mergeCell ref="B9:H9"/>
    <mergeCell ref="B10:H10"/>
    <mergeCell ref="A37:F37"/>
    <mergeCell ref="A39:G39"/>
    <mergeCell ref="A40:H40"/>
  </mergeCells>
  <printOptions horizontalCentered="1"/>
  <pageMargins left="0.51180555555555496" right="0.51180555555555496" top="0.35416666666666702" bottom="0.55138888888888904" header="0.51180555555555496" footer="0.31527777777777799"/>
  <pageSetup paperSize="9" scale="59" firstPageNumber="0" orientation="portrait" horizontalDpi="300" verticalDpi="300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26A8-DF96-4C7B-8915-FBED822C6753}">
  <sheetPr>
    <tabColor rgb="FF002060"/>
    <pageSetUpPr fitToPage="1"/>
  </sheetPr>
  <dimension ref="A1:G25"/>
  <sheetViews>
    <sheetView view="pageBreakPreview" zoomScaleNormal="100" zoomScaleSheetLayoutView="100" workbookViewId="0">
      <selection activeCell="A3" sqref="A3:C3"/>
    </sheetView>
  </sheetViews>
  <sheetFormatPr defaultColWidth="8.7265625" defaultRowHeight="14.5" x14ac:dyDescent="0.35"/>
  <cols>
    <col min="1" max="1" width="48.54296875" customWidth="1"/>
    <col min="2" max="2" width="20.1796875" customWidth="1"/>
    <col min="3" max="3" width="22.81640625" style="38" customWidth="1"/>
    <col min="4" max="4" width="37.81640625" style="34" customWidth="1"/>
    <col min="5" max="5" width="15.90625" bestFit="1" customWidth="1"/>
    <col min="6" max="6" width="21.90625" bestFit="1" customWidth="1"/>
    <col min="7" max="7" width="39.08984375" customWidth="1"/>
  </cols>
  <sheetData>
    <row r="1" spans="1:7" ht="129.65" customHeight="1" thickBot="1" x14ac:dyDescent="0.4">
      <c r="A1" s="497" t="s">
        <v>124</v>
      </c>
      <c r="B1" s="498"/>
      <c r="C1" s="499"/>
    </row>
    <row r="2" spans="1:7" ht="38" customHeight="1" thickBot="1" x14ac:dyDescent="0.4">
      <c r="A2" s="500" t="s">
        <v>422</v>
      </c>
      <c r="B2" s="500"/>
      <c r="C2" s="500"/>
    </row>
    <row r="3" spans="1:7" ht="40" customHeight="1" thickBot="1" x14ac:dyDescent="0.4">
      <c r="A3" s="501" t="s">
        <v>505</v>
      </c>
      <c r="B3" s="501"/>
      <c r="C3" s="501"/>
    </row>
    <row r="4" spans="1:7" ht="5.5" customHeight="1" thickBot="1" x14ac:dyDescent="0.4">
      <c r="A4" s="502"/>
      <c r="B4" s="502"/>
      <c r="C4" s="502"/>
    </row>
    <row r="5" spans="1:7" ht="3.5" customHeight="1" thickBot="1" x14ac:dyDescent="0.4">
      <c r="A5" s="508"/>
      <c r="B5" s="508"/>
      <c r="C5" s="508"/>
    </row>
    <row r="6" spans="1:7" ht="28.5" customHeight="1" x14ac:dyDescent="0.35">
      <c r="A6" s="113" t="s">
        <v>121</v>
      </c>
      <c r="B6" s="60" t="s">
        <v>122</v>
      </c>
      <c r="C6" s="61" t="s">
        <v>48</v>
      </c>
      <c r="D6" s="509"/>
    </row>
    <row r="7" spans="1:7" ht="9.75" customHeight="1" x14ac:dyDescent="0.35">
      <c r="A7" s="510"/>
      <c r="B7" s="510"/>
      <c r="C7" s="510"/>
      <c r="D7" s="509"/>
    </row>
    <row r="8" spans="1:7" ht="44.5" customHeight="1" x14ac:dyDescent="0.6">
      <c r="A8" s="62" t="s">
        <v>151</v>
      </c>
      <c r="B8" s="63" t="s">
        <v>155</v>
      </c>
      <c r="C8" s="149">
        <v>0.04</v>
      </c>
      <c r="D8" s="150"/>
      <c r="E8" s="151"/>
      <c r="F8" s="154"/>
      <c r="G8" s="154"/>
    </row>
    <row r="9" spans="1:7" ht="34.5" customHeight="1" x14ac:dyDescent="0.6">
      <c r="A9" s="62" t="s">
        <v>157</v>
      </c>
      <c r="B9" s="63" t="s">
        <v>158</v>
      </c>
      <c r="C9" s="149">
        <v>8.0000000000000002E-3</v>
      </c>
      <c r="D9" s="150"/>
      <c r="E9" s="151"/>
      <c r="F9" s="154"/>
      <c r="G9" s="154"/>
    </row>
    <row r="10" spans="1:7" ht="30" customHeight="1" x14ac:dyDescent="0.6">
      <c r="A10" s="62" t="s">
        <v>152</v>
      </c>
      <c r="B10" s="64" t="s">
        <v>159</v>
      </c>
      <c r="C10" s="149">
        <v>1.2699999999999999E-2</v>
      </c>
      <c r="D10" s="153"/>
      <c r="E10" s="151"/>
      <c r="F10" s="151"/>
      <c r="G10" s="151"/>
    </row>
    <row r="11" spans="1:7" ht="32.5" customHeight="1" x14ac:dyDescent="0.6">
      <c r="A11" s="65" t="s">
        <v>153</v>
      </c>
      <c r="B11" s="64" t="s">
        <v>156</v>
      </c>
      <c r="C11" s="149">
        <v>1.23E-2</v>
      </c>
      <c r="D11" s="152"/>
      <c r="E11" s="151"/>
      <c r="F11" s="151"/>
    </row>
    <row r="12" spans="1:7" ht="32.5" customHeight="1" x14ac:dyDescent="0.35">
      <c r="A12" s="65" t="s">
        <v>154</v>
      </c>
      <c r="B12" s="64" t="s">
        <v>160</v>
      </c>
      <c r="C12" s="149">
        <v>7.3999999999999996E-2</v>
      </c>
      <c r="D12" s="35"/>
    </row>
    <row r="13" spans="1:7" ht="56" customHeight="1" thickBot="1" x14ac:dyDescent="0.4">
      <c r="A13" s="155" t="s">
        <v>162</v>
      </c>
      <c r="B13" s="156" t="s">
        <v>161</v>
      </c>
      <c r="C13" s="157">
        <v>8.6499999999999994E-2</v>
      </c>
      <c r="D13" s="35"/>
    </row>
    <row r="14" spans="1:7" ht="30" customHeight="1" thickBot="1" x14ac:dyDescent="0.4">
      <c r="A14" s="503" t="s">
        <v>164</v>
      </c>
      <c r="B14" s="504"/>
      <c r="C14" s="158">
        <f>SUM(C8:C13)</f>
        <v>0.23350000000000001</v>
      </c>
      <c r="D14" s="35"/>
    </row>
    <row r="15" spans="1:7" x14ac:dyDescent="0.35">
      <c r="A15" s="511" t="s">
        <v>120</v>
      </c>
      <c r="B15" s="512"/>
      <c r="C15" s="513"/>
    </row>
    <row r="16" spans="1:7" ht="15" thickBot="1" x14ac:dyDescent="0.4">
      <c r="A16" s="514"/>
      <c r="B16" s="515"/>
      <c r="C16" s="516"/>
    </row>
    <row r="17" spans="1:4" ht="52" customHeight="1" thickBot="1" x14ac:dyDescent="0.4">
      <c r="A17" s="505"/>
      <c r="B17" s="506"/>
      <c r="C17" s="507"/>
    </row>
    <row r="23" spans="1:4" x14ac:dyDescent="0.35">
      <c r="D23" s="66"/>
    </row>
    <row r="25" spans="1:4" x14ac:dyDescent="0.35">
      <c r="B25">
        <v>100</v>
      </c>
    </row>
  </sheetData>
  <mergeCells count="10">
    <mergeCell ref="A17:C17"/>
    <mergeCell ref="A5:C5"/>
    <mergeCell ref="D6:D7"/>
    <mergeCell ref="A7:C7"/>
    <mergeCell ref="A15:C16"/>
    <mergeCell ref="A1:C1"/>
    <mergeCell ref="A2:C2"/>
    <mergeCell ref="A3:C3"/>
    <mergeCell ref="A4:C4"/>
    <mergeCell ref="A14:B14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DAF2C-6391-406D-907F-A5F0EFB3FEFE}">
  <sheetPr>
    <tabColor rgb="FF002060"/>
  </sheetPr>
  <dimension ref="A1:Q42"/>
  <sheetViews>
    <sheetView view="pageBreakPreview" topLeftCell="A13" zoomScale="115" zoomScaleNormal="100" zoomScaleSheetLayoutView="115" workbookViewId="0">
      <selection activeCell="Q13" sqref="Q1:Q1048576"/>
    </sheetView>
  </sheetViews>
  <sheetFormatPr defaultRowHeight="18.5" x14ac:dyDescent="0.45"/>
  <cols>
    <col min="1" max="1" width="5.6328125" style="34" customWidth="1"/>
    <col min="2" max="2" width="28.1796875" customWidth="1"/>
    <col min="3" max="3" width="13.81640625" customWidth="1"/>
    <col min="4" max="4" width="10.26953125" customWidth="1"/>
    <col min="5" max="5" width="11.08984375" customWidth="1"/>
    <col min="6" max="6" width="11.6328125" customWidth="1"/>
    <col min="7" max="7" width="11.36328125" customWidth="1"/>
    <col min="8" max="8" width="11.08984375" customWidth="1"/>
    <col min="9" max="9" width="11.1796875" customWidth="1"/>
    <col min="10" max="10" width="11.08984375" customWidth="1"/>
    <col min="11" max="11" width="11" customWidth="1"/>
    <col min="12" max="15" width="11.08984375" style="188" customWidth="1"/>
    <col min="16" max="16" width="11.08984375" style="231" customWidth="1"/>
  </cols>
  <sheetData>
    <row r="1" spans="1:16" ht="18.5" customHeight="1" x14ac:dyDescent="0.35">
      <c r="A1" s="537" t="s">
        <v>451</v>
      </c>
      <c r="B1" s="538"/>
      <c r="C1" s="538"/>
      <c r="D1" s="538"/>
      <c r="E1" s="538"/>
      <c r="F1" s="538"/>
      <c r="G1" s="538"/>
      <c r="H1" s="538"/>
      <c r="I1" s="538"/>
      <c r="J1" s="538"/>
      <c r="K1" s="538"/>
      <c r="L1" s="538"/>
      <c r="M1" s="538"/>
      <c r="N1" s="538"/>
      <c r="O1" s="538"/>
      <c r="P1" s="539"/>
    </row>
    <row r="2" spans="1:16" ht="17" customHeight="1" x14ac:dyDescent="0.35">
      <c r="A2" s="540"/>
      <c r="B2" s="541"/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2"/>
    </row>
    <row r="3" spans="1:16" ht="16" customHeight="1" x14ac:dyDescent="0.35">
      <c r="A3" s="540"/>
      <c r="B3" s="541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  <c r="P3" s="542"/>
    </row>
    <row r="4" spans="1:16" ht="16" customHeight="1" x14ac:dyDescent="0.35">
      <c r="A4" s="540"/>
      <c r="B4" s="541"/>
      <c r="C4" s="541"/>
      <c r="D4" s="541"/>
      <c r="E4" s="541"/>
      <c r="F4" s="541"/>
      <c r="G4" s="541"/>
      <c r="H4" s="541"/>
      <c r="I4" s="541"/>
      <c r="J4" s="541"/>
      <c r="K4" s="541"/>
      <c r="L4" s="541"/>
      <c r="M4" s="541"/>
      <c r="N4" s="541"/>
      <c r="O4" s="541"/>
      <c r="P4" s="542"/>
    </row>
    <row r="5" spans="1:16" ht="26.5" customHeight="1" x14ac:dyDescent="0.35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2"/>
    </row>
    <row r="6" spans="1:16" ht="17.5" customHeight="1" thickBot="1" x14ac:dyDescent="0.4">
      <c r="A6" s="543"/>
      <c r="B6" s="544"/>
      <c r="C6" s="544"/>
      <c r="D6" s="544"/>
      <c r="E6" s="544"/>
      <c r="F6" s="544"/>
      <c r="G6" s="544"/>
      <c r="H6" s="544"/>
      <c r="I6" s="544"/>
      <c r="J6" s="544"/>
      <c r="K6" s="544"/>
      <c r="L6" s="544"/>
      <c r="M6" s="544"/>
      <c r="N6" s="544"/>
      <c r="O6" s="544"/>
      <c r="P6" s="545"/>
    </row>
    <row r="7" spans="1:16" ht="20" customHeight="1" thickBot="1" x14ac:dyDescent="0.4">
      <c r="A7" s="546" t="s">
        <v>480</v>
      </c>
      <c r="B7" s="547"/>
      <c r="C7" s="547"/>
      <c r="D7" s="547"/>
      <c r="E7" s="547"/>
      <c r="F7" s="547"/>
      <c r="G7" s="547"/>
      <c r="H7" s="547"/>
      <c r="I7" s="547"/>
      <c r="J7" s="547"/>
      <c r="K7" s="547"/>
      <c r="L7" s="547"/>
      <c r="M7" s="547"/>
      <c r="N7" s="547"/>
      <c r="O7" s="547"/>
      <c r="P7" s="548"/>
    </row>
    <row r="8" spans="1:16" s="208" customFormat="1" ht="4" customHeight="1" thickBot="1" x14ac:dyDescent="0.5">
      <c r="A8" s="258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32"/>
    </row>
    <row r="9" spans="1:16" ht="40.5" customHeight="1" thickBot="1" x14ac:dyDescent="0.4">
      <c r="A9" s="203" t="s">
        <v>468</v>
      </c>
      <c r="B9" s="534" t="s">
        <v>433</v>
      </c>
      <c r="C9" s="535"/>
      <c r="D9" s="535"/>
      <c r="E9" s="535"/>
      <c r="F9" s="535"/>
      <c r="G9" s="535"/>
      <c r="H9" s="535"/>
      <c r="I9" s="535"/>
      <c r="J9" s="535"/>
      <c r="K9" s="535"/>
      <c r="L9" s="535"/>
      <c r="M9" s="535"/>
      <c r="N9" s="535"/>
      <c r="O9" s="535"/>
      <c r="P9" s="536"/>
    </row>
    <row r="10" spans="1:16" ht="29.5" customHeight="1" thickBot="1" x14ac:dyDescent="0.4">
      <c r="A10" s="201" t="s">
        <v>1</v>
      </c>
      <c r="B10" s="396" t="s">
        <v>126</v>
      </c>
      <c r="C10" s="396"/>
      <c r="D10" s="396"/>
      <c r="E10" s="396"/>
      <c r="F10" s="558" t="s">
        <v>130</v>
      </c>
      <c r="G10" s="559"/>
      <c r="H10" s="558" t="s">
        <v>25</v>
      </c>
      <c r="I10" s="560"/>
      <c r="J10" s="549" t="s">
        <v>475</v>
      </c>
      <c r="K10" s="550"/>
      <c r="L10" s="550"/>
      <c r="M10" s="550"/>
      <c r="N10" s="550"/>
      <c r="O10" s="550"/>
      <c r="P10" s="551"/>
    </row>
    <row r="11" spans="1:16" ht="35.5" customHeight="1" thickBot="1" x14ac:dyDescent="0.4">
      <c r="A11" s="201" t="s">
        <v>3</v>
      </c>
      <c r="B11" s="396" t="s">
        <v>456</v>
      </c>
      <c r="C11" s="396"/>
      <c r="D11" s="396"/>
      <c r="E11" s="396"/>
      <c r="F11" s="561" t="s">
        <v>45</v>
      </c>
      <c r="G11" s="562"/>
      <c r="H11" s="563">
        <f>23.35</f>
        <v>23.35</v>
      </c>
      <c r="I11" s="564"/>
      <c r="J11" s="552"/>
      <c r="K11" s="553"/>
      <c r="L11" s="553"/>
      <c r="M11" s="553"/>
      <c r="N11" s="553"/>
      <c r="O11" s="553"/>
      <c r="P11" s="554"/>
    </row>
    <row r="12" spans="1:16" ht="27" customHeight="1" thickBot="1" x14ac:dyDescent="0.4">
      <c r="A12" s="201" t="s">
        <v>4</v>
      </c>
      <c r="B12" s="367" t="s">
        <v>457</v>
      </c>
      <c r="C12" s="368"/>
      <c r="D12" s="368"/>
      <c r="E12" s="368"/>
      <c r="F12" s="368"/>
      <c r="G12" s="368"/>
      <c r="H12" s="368"/>
      <c r="I12" s="368"/>
      <c r="J12" s="555"/>
      <c r="K12" s="556"/>
      <c r="L12" s="556"/>
      <c r="M12" s="556"/>
      <c r="N12" s="556"/>
      <c r="O12" s="556"/>
      <c r="P12" s="557"/>
    </row>
    <row r="13" spans="1:16" s="208" customFormat="1" ht="1.5" customHeight="1" thickBot="1" x14ac:dyDescent="0.5">
      <c r="A13" s="269"/>
      <c r="B13" s="270"/>
      <c r="C13" s="271"/>
      <c r="D13" s="271"/>
      <c r="E13" s="525"/>
      <c r="F13" s="525"/>
      <c r="G13" s="272"/>
      <c r="H13" s="272"/>
      <c r="I13" s="272"/>
      <c r="J13" s="272"/>
      <c r="K13" s="272"/>
      <c r="L13" s="272"/>
      <c r="M13" s="272"/>
      <c r="N13" s="272"/>
      <c r="O13" s="272"/>
      <c r="P13" s="273"/>
    </row>
    <row r="14" spans="1:16" ht="30.5" customHeight="1" thickBot="1" x14ac:dyDescent="0.4">
      <c r="A14" s="260" t="s">
        <v>5</v>
      </c>
      <c r="B14" s="259" t="s">
        <v>439</v>
      </c>
      <c r="C14" s="260" t="s">
        <v>8</v>
      </c>
      <c r="D14" s="261" t="s">
        <v>440</v>
      </c>
      <c r="E14" s="262" t="s">
        <v>441</v>
      </c>
      <c r="F14" s="259" t="s">
        <v>442</v>
      </c>
      <c r="G14" s="259" t="s">
        <v>443</v>
      </c>
      <c r="H14" s="259" t="s">
        <v>444</v>
      </c>
      <c r="I14" s="259" t="s">
        <v>445</v>
      </c>
      <c r="J14" s="259" t="s">
        <v>446</v>
      </c>
      <c r="K14" s="259" t="s">
        <v>447</v>
      </c>
      <c r="L14" s="259" t="s">
        <v>448</v>
      </c>
      <c r="M14" s="259" t="s">
        <v>452</v>
      </c>
      <c r="N14" s="259" t="s">
        <v>453</v>
      </c>
      <c r="O14" s="259" t="s">
        <v>454</v>
      </c>
      <c r="P14" s="264" t="s">
        <v>467</v>
      </c>
    </row>
    <row r="15" spans="1:16" s="208" customFormat="1" ht="3" customHeight="1" thickBot="1" x14ac:dyDescent="0.5">
      <c r="A15" s="274"/>
      <c r="B15" s="275"/>
      <c r="C15" s="275"/>
      <c r="D15" s="275"/>
      <c r="E15" s="275"/>
      <c r="F15" s="275"/>
      <c r="G15" s="272"/>
      <c r="H15" s="272"/>
      <c r="I15" s="272"/>
      <c r="J15" s="272"/>
      <c r="K15" s="272"/>
      <c r="L15" s="272"/>
      <c r="M15" s="272"/>
      <c r="N15" s="272"/>
      <c r="O15" s="272"/>
      <c r="P15" s="273"/>
    </row>
    <row r="16" spans="1:16" ht="23.5" customHeight="1" x14ac:dyDescent="0.35">
      <c r="A16" s="526">
        <f>'[3]ORÇAMENTO - CAPS'!A15</f>
        <v>1</v>
      </c>
      <c r="B16" s="528" t="s">
        <v>460</v>
      </c>
      <c r="C16" s="523">
        <f>'1. Serviços Manut. PREVENTIVA'!J16</f>
        <v>33516.44</v>
      </c>
      <c r="D16" s="265">
        <v>0.47</v>
      </c>
      <c r="E16" s="265">
        <v>0.03</v>
      </c>
      <c r="F16" s="265">
        <v>0.03</v>
      </c>
      <c r="G16" s="265">
        <v>0.03</v>
      </c>
      <c r="H16" s="265">
        <v>0.03</v>
      </c>
      <c r="I16" s="265">
        <v>0.03</v>
      </c>
      <c r="J16" s="265">
        <v>0.23</v>
      </c>
      <c r="K16" s="265">
        <v>0.03</v>
      </c>
      <c r="L16" s="265">
        <v>0.03</v>
      </c>
      <c r="M16" s="265">
        <v>0.03</v>
      </c>
      <c r="N16" s="265">
        <v>0.03</v>
      </c>
      <c r="O16" s="266">
        <v>0.03</v>
      </c>
      <c r="P16" s="276">
        <f>SUM(D16:O16)</f>
        <v>1.0000000000000002</v>
      </c>
    </row>
    <row r="17" spans="1:17" ht="22.5" customHeight="1" thickBot="1" x14ac:dyDescent="0.4">
      <c r="A17" s="527"/>
      <c r="B17" s="524"/>
      <c r="C17" s="524"/>
      <c r="D17" s="267">
        <f>D16*$C$16</f>
        <v>15752.7268</v>
      </c>
      <c r="E17" s="267">
        <f t="shared" ref="E17:O17" si="0">E16*$C$16</f>
        <v>1005.4932</v>
      </c>
      <c r="F17" s="267">
        <f t="shared" si="0"/>
        <v>1005.4932</v>
      </c>
      <c r="G17" s="267">
        <f t="shared" si="0"/>
        <v>1005.4932</v>
      </c>
      <c r="H17" s="267">
        <f t="shared" si="0"/>
        <v>1005.4932</v>
      </c>
      <c r="I17" s="267">
        <f t="shared" si="0"/>
        <v>1005.4932</v>
      </c>
      <c r="J17" s="267">
        <f t="shared" si="0"/>
        <v>7708.7812000000013</v>
      </c>
      <c r="K17" s="267">
        <f t="shared" si="0"/>
        <v>1005.4932</v>
      </c>
      <c r="L17" s="267">
        <f t="shared" si="0"/>
        <v>1005.4932</v>
      </c>
      <c r="M17" s="267">
        <f t="shared" si="0"/>
        <v>1005.4932</v>
      </c>
      <c r="N17" s="267">
        <f t="shared" si="0"/>
        <v>1005.4932</v>
      </c>
      <c r="O17" s="268">
        <f t="shared" si="0"/>
        <v>1005.4932</v>
      </c>
      <c r="P17" s="277">
        <f>SUM(D17:O17)</f>
        <v>33516.44000000001</v>
      </c>
    </row>
    <row r="18" spans="1:17" ht="1" customHeight="1" thickBot="1" x14ac:dyDescent="0.4">
      <c r="A18" s="278"/>
      <c r="B18" s="279"/>
      <c r="C18" s="206"/>
      <c r="D18" s="280"/>
      <c r="E18" s="280"/>
      <c r="F18" s="281"/>
      <c r="G18" s="282"/>
      <c r="H18" s="282"/>
      <c r="I18" s="282"/>
      <c r="J18" s="282"/>
      <c r="K18" s="282"/>
      <c r="L18" s="282"/>
      <c r="M18" s="282"/>
      <c r="N18" s="282"/>
      <c r="O18" s="282"/>
      <c r="P18" s="283"/>
    </row>
    <row r="19" spans="1:17" ht="21.5" customHeight="1" x14ac:dyDescent="0.35">
      <c r="A19" s="529">
        <f>'[3]ORÇAMENTO - CAPS'!A24</f>
        <v>2</v>
      </c>
      <c r="B19" s="531" t="s">
        <v>461</v>
      </c>
      <c r="C19" s="533">
        <f>'1. Serviços Manut. PREVENTIVA'!J28</f>
        <v>61525.600000000006</v>
      </c>
      <c r="D19" s="236">
        <f>D20/$C$19</f>
        <v>0.15286401107831535</v>
      </c>
      <c r="E19" s="236">
        <f t="shared" ref="E19:O19" si="1">E20/$C$19</f>
        <v>6.9427197784336925E-2</v>
      </c>
      <c r="F19" s="236">
        <f t="shared" si="1"/>
        <v>6.9427197784336925E-2</v>
      </c>
      <c r="G19" s="236">
        <f t="shared" si="1"/>
        <v>6.9427197784336925E-2</v>
      </c>
      <c r="H19" s="236">
        <f t="shared" si="1"/>
        <v>6.9427197784336925E-2</v>
      </c>
      <c r="I19" s="236">
        <f t="shared" si="1"/>
        <v>6.9427197784336925E-2</v>
      </c>
      <c r="J19" s="236">
        <f t="shared" si="1"/>
        <v>0.15286401107831535</v>
      </c>
      <c r="K19" s="236">
        <f t="shared" si="1"/>
        <v>6.9427197784336925E-2</v>
      </c>
      <c r="L19" s="236">
        <f t="shared" si="1"/>
        <v>6.9427197784336925E-2</v>
      </c>
      <c r="M19" s="236">
        <f t="shared" si="1"/>
        <v>6.9427197784336925E-2</v>
      </c>
      <c r="N19" s="236">
        <f t="shared" si="1"/>
        <v>6.9427197784336925E-2</v>
      </c>
      <c r="O19" s="237">
        <f t="shared" si="1"/>
        <v>6.9427197784336925E-2</v>
      </c>
      <c r="P19" s="276">
        <f>SUM(D19:O19)</f>
        <v>1</v>
      </c>
    </row>
    <row r="20" spans="1:17" ht="20.5" customHeight="1" thickBot="1" x14ac:dyDescent="0.4">
      <c r="A20" s="530"/>
      <c r="B20" s="532"/>
      <c r="C20" s="532"/>
      <c r="D20" s="240">
        <f>'1. Serviços Manut. PREVENTIVA'!K29+'1. Serviços Manut. PREVENTIVA'!K30</f>
        <v>9405.0499999999993</v>
      </c>
      <c r="E20" s="240">
        <f>'1. Serviços Manut. PREVENTIVA'!K29</f>
        <v>4271.55</v>
      </c>
      <c r="F20" s="240">
        <f>'1. Serviços Manut. PREVENTIVA'!K29</f>
        <v>4271.55</v>
      </c>
      <c r="G20" s="240">
        <f>'1. Serviços Manut. PREVENTIVA'!K29</f>
        <v>4271.55</v>
      </c>
      <c r="H20" s="240">
        <f>'1. Serviços Manut. PREVENTIVA'!K29</f>
        <v>4271.55</v>
      </c>
      <c r="I20" s="240">
        <f>'1. Serviços Manut. PREVENTIVA'!K29</f>
        <v>4271.55</v>
      </c>
      <c r="J20" s="240">
        <f>'1. Serviços Manut. PREVENTIVA'!K29+'1. Serviços Manut. PREVENTIVA'!K30</f>
        <v>9405.0499999999993</v>
      </c>
      <c r="K20" s="240">
        <f>'1. Serviços Manut. PREVENTIVA'!K29</f>
        <v>4271.55</v>
      </c>
      <c r="L20" s="240">
        <f>'1. Serviços Manut. PREVENTIVA'!K29</f>
        <v>4271.55</v>
      </c>
      <c r="M20" s="240">
        <f>'1. Serviços Manut. PREVENTIVA'!K29</f>
        <v>4271.55</v>
      </c>
      <c r="N20" s="240">
        <f>'1. Serviços Manut. PREVENTIVA'!K29</f>
        <v>4271.55</v>
      </c>
      <c r="O20" s="241">
        <f>'1. Serviços Manut. PREVENTIVA'!K29</f>
        <v>4271.55</v>
      </c>
      <c r="P20" s="277">
        <f>SUM(D20:O20)</f>
        <v>61525.600000000006</v>
      </c>
    </row>
    <row r="21" spans="1:17" ht="4" hidden="1" customHeight="1" thickBot="1" x14ac:dyDescent="0.4">
      <c r="A21" s="278"/>
      <c r="B21" s="279"/>
      <c r="C21" s="206"/>
      <c r="D21" s="280"/>
      <c r="E21" s="280"/>
      <c r="F21" s="281"/>
      <c r="G21" s="242"/>
      <c r="H21" s="282"/>
      <c r="I21" s="282"/>
      <c r="J21" s="282"/>
      <c r="K21" s="282"/>
      <c r="L21" s="282"/>
      <c r="M21" s="282"/>
      <c r="N21" s="282"/>
      <c r="O21" s="282"/>
      <c r="P21" s="283"/>
    </row>
    <row r="22" spans="1:17" ht="18" customHeight="1" x14ac:dyDescent="0.35">
      <c r="A22" s="526">
        <f>'[3]ORÇAMENTO - CAPS'!A30</f>
        <v>3</v>
      </c>
      <c r="B22" s="528" t="s">
        <v>462</v>
      </c>
      <c r="C22" s="523">
        <f>'1. Serviços Manut. PREVENTIVA'!J38</f>
        <v>105482.01</v>
      </c>
      <c r="D22" s="236">
        <f>D23/C22</f>
        <v>0.40736491464279068</v>
      </c>
      <c r="E22" s="236">
        <f>E23/C22</f>
        <v>2.1246561380466676E-2</v>
      </c>
      <c r="F22" s="236">
        <f>F23/$C$22</f>
        <v>2.1246561380466676E-2</v>
      </c>
      <c r="G22" s="236">
        <f t="shared" ref="G22:I22" si="2">G23/$C$22</f>
        <v>2.1246561380466676E-2</v>
      </c>
      <c r="H22" s="236">
        <f t="shared" si="2"/>
        <v>2.1246561380466676E-2</v>
      </c>
      <c r="I22" s="236">
        <f t="shared" si="2"/>
        <v>2.1246561380466676E-2</v>
      </c>
      <c r="J22" s="236">
        <f>J23/C22</f>
        <v>0.38016947155254244</v>
      </c>
      <c r="K22" s="236">
        <f t="shared" ref="K22" si="3">K23/$C$22</f>
        <v>2.1246561380466676E-2</v>
      </c>
      <c r="L22" s="236">
        <f t="shared" ref="L22" si="4">L23/$C$22</f>
        <v>2.1246561380466676E-2</v>
      </c>
      <c r="M22" s="236">
        <f t="shared" ref="M22:N22" si="5">M23/$C$22</f>
        <v>2.1246561380466676E-2</v>
      </c>
      <c r="N22" s="236">
        <f t="shared" si="5"/>
        <v>2.1246561380466676E-2</v>
      </c>
      <c r="O22" s="237">
        <f t="shared" ref="O22" si="6">O23/$C$22</f>
        <v>2.1246561380466676E-2</v>
      </c>
      <c r="P22" s="276">
        <f>SUM(D22:O22)</f>
        <v>0.99999999999999967</v>
      </c>
    </row>
    <row r="23" spans="1:17" ht="22" customHeight="1" thickBot="1" x14ac:dyDescent="0.4">
      <c r="A23" s="527"/>
      <c r="B23" s="524"/>
      <c r="C23" s="524"/>
      <c r="D23" s="238">
        <f>SUM('1. Serviços Manut. PREVENTIVA'!K39:K41)</f>
        <v>42969.669999999991</v>
      </c>
      <c r="E23" s="238">
        <f>'1. Serviços Manut. PREVENTIVA'!K39</f>
        <v>2241.1299999999997</v>
      </c>
      <c r="F23" s="238">
        <f>'1. Serviços Manut. PREVENTIVA'!K39</f>
        <v>2241.1299999999997</v>
      </c>
      <c r="G23" s="238">
        <f>'1. Serviços Manut. PREVENTIVA'!K39</f>
        <v>2241.1299999999997</v>
      </c>
      <c r="H23" s="238">
        <f>'1. Serviços Manut. PREVENTIVA'!K39</f>
        <v>2241.1299999999997</v>
      </c>
      <c r="I23" s="238">
        <f>'1. Serviços Manut. PREVENTIVA'!K39</f>
        <v>2241.1299999999997</v>
      </c>
      <c r="J23" s="238">
        <f>SUM('1. Serviços Manut. PREVENTIVA'!K39:K40)</f>
        <v>40101.039999999994</v>
      </c>
      <c r="K23" s="238">
        <f>'1. Serviços Manut. PREVENTIVA'!K39</f>
        <v>2241.1299999999997</v>
      </c>
      <c r="L23" s="238">
        <f>'1. Serviços Manut. PREVENTIVA'!K39</f>
        <v>2241.1299999999997</v>
      </c>
      <c r="M23" s="238">
        <f>'1. Serviços Manut. PREVENTIVA'!K39</f>
        <v>2241.1299999999997</v>
      </c>
      <c r="N23" s="238">
        <f>'1. Serviços Manut. PREVENTIVA'!K39</f>
        <v>2241.1299999999997</v>
      </c>
      <c r="O23" s="239">
        <f>'1. Serviços Manut. PREVENTIVA'!K39</f>
        <v>2241.1299999999997</v>
      </c>
      <c r="P23" s="277">
        <f>SUM(D23:O23)</f>
        <v>105482.01</v>
      </c>
      <c r="Q23" s="204"/>
    </row>
    <row r="24" spans="1:17" ht="2" customHeight="1" thickBot="1" x14ac:dyDescent="0.4">
      <c r="A24" s="278"/>
      <c r="B24" s="279"/>
      <c r="C24" s="206"/>
      <c r="D24" s="280"/>
      <c r="E24" s="280"/>
      <c r="F24" s="281"/>
      <c r="G24" s="284"/>
      <c r="H24" s="282"/>
      <c r="I24" s="282"/>
      <c r="J24" s="282"/>
      <c r="K24" s="282"/>
      <c r="L24" s="282"/>
      <c r="M24" s="282"/>
      <c r="N24" s="282"/>
      <c r="O24" s="282"/>
      <c r="P24" s="283"/>
    </row>
    <row r="25" spans="1:17" ht="23" customHeight="1" x14ac:dyDescent="0.35">
      <c r="A25" s="529">
        <f>'[3]ORÇAMENTO - CAPS'!A39</f>
        <v>4</v>
      </c>
      <c r="B25" s="531" t="s">
        <v>463</v>
      </c>
      <c r="C25" s="533">
        <f>'1. Serviços Manut. PREVENTIVA'!J56</f>
        <v>17323.739999999998</v>
      </c>
      <c r="D25" s="243">
        <f>D26/C25</f>
        <v>0.83333333333333348</v>
      </c>
      <c r="E25" s="243"/>
      <c r="F25" s="243"/>
      <c r="G25" s="243"/>
      <c r="H25" s="243"/>
      <c r="I25" s="243"/>
      <c r="J25" s="243">
        <f>J26/C25</f>
        <v>0.16666666666666669</v>
      </c>
      <c r="K25" s="243"/>
      <c r="L25" s="243"/>
      <c r="M25" s="243"/>
      <c r="N25" s="243"/>
      <c r="O25" s="244"/>
      <c r="P25" s="276">
        <f>SUM(D25:O25)</f>
        <v>1.0000000000000002</v>
      </c>
    </row>
    <row r="26" spans="1:17" ht="24.5" customHeight="1" thickBot="1" x14ac:dyDescent="0.4">
      <c r="A26" s="530"/>
      <c r="B26" s="532"/>
      <c r="C26" s="532"/>
      <c r="D26" s="245">
        <f>'1. Serviços Manut. PREVENTIVA'!I57+'1. Serviços Manut. PREVENTIVA'!J58</f>
        <v>14436.45</v>
      </c>
      <c r="E26" s="240"/>
      <c r="F26" s="240"/>
      <c r="G26" s="240"/>
      <c r="H26" s="240"/>
      <c r="I26" s="240"/>
      <c r="J26" s="240">
        <f>'1. Serviços Manut. PREVENTIVA'!I57</f>
        <v>2887.29</v>
      </c>
      <c r="K26" s="240"/>
      <c r="L26" s="246"/>
      <c r="M26" s="246"/>
      <c r="N26" s="246"/>
      <c r="O26" s="241"/>
      <c r="P26" s="277">
        <f>SUM(D26:O26)</f>
        <v>17323.740000000002</v>
      </c>
    </row>
    <row r="27" spans="1:17" ht="3" hidden="1" customHeight="1" thickBot="1" x14ac:dyDescent="0.4">
      <c r="A27" s="278"/>
      <c r="B27" s="279"/>
      <c r="C27" s="206"/>
      <c r="D27" s="280"/>
      <c r="E27" s="280"/>
      <c r="F27" s="281"/>
      <c r="G27" s="247"/>
      <c r="H27" s="282"/>
      <c r="I27" s="282"/>
      <c r="J27" s="282"/>
      <c r="K27" s="282"/>
      <c r="L27" s="282"/>
      <c r="M27" s="282"/>
      <c r="N27" s="282"/>
      <c r="O27" s="282"/>
      <c r="P27" s="283"/>
    </row>
    <row r="28" spans="1:17" ht="19.5" customHeight="1" x14ac:dyDescent="0.35">
      <c r="A28" s="526">
        <f>'[3]ORÇAMENTO - CAPS'!A49</f>
        <v>5</v>
      </c>
      <c r="B28" s="528" t="s">
        <v>464</v>
      </c>
      <c r="C28" s="523">
        <f>'1. Serviços Manut. PREVENTIVA'!J60</f>
        <v>33940.32</v>
      </c>
      <c r="D28" s="236">
        <f>D29/C28</f>
        <v>8.3333333333333343E-2</v>
      </c>
      <c r="E28" s="236">
        <f>E29/$C$28</f>
        <v>8.3333333333333343E-2</v>
      </c>
      <c r="F28" s="236">
        <f t="shared" ref="F28:O28" si="7">F29/$C$28</f>
        <v>8.3333333333333343E-2</v>
      </c>
      <c r="G28" s="236">
        <f t="shared" si="7"/>
        <v>8.3333333333333343E-2</v>
      </c>
      <c r="H28" s="236">
        <f t="shared" si="7"/>
        <v>8.3333333333333343E-2</v>
      </c>
      <c r="I28" s="236">
        <f t="shared" si="7"/>
        <v>8.3333333333333343E-2</v>
      </c>
      <c r="J28" s="236">
        <f t="shared" si="7"/>
        <v>8.3333333333333343E-2</v>
      </c>
      <c r="K28" s="236">
        <f t="shared" si="7"/>
        <v>8.3333333333333343E-2</v>
      </c>
      <c r="L28" s="236">
        <f t="shared" si="7"/>
        <v>8.3333333333333343E-2</v>
      </c>
      <c r="M28" s="236">
        <f t="shared" si="7"/>
        <v>8.3333333333333343E-2</v>
      </c>
      <c r="N28" s="236">
        <f t="shared" si="7"/>
        <v>8.3333333333333343E-2</v>
      </c>
      <c r="O28" s="237">
        <f t="shared" si="7"/>
        <v>8.3333333333333343E-2</v>
      </c>
      <c r="P28" s="276">
        <f>SUM(D28:O28)</f>
        <v>1.0000000000000002</v>
      </c>
    </row>
    <row r="29" spans="1:17" ht="23.5" customHeight="1" thickBot="1" x14ac:dyDescent="0.4">
      <c r="A29" s="527"/>
      <c r="B29" s="524"/>
      <c r="C29" s="524"/>
      <c r="D29" s="238">
        <f>'1. Serviços Manut. PREVENTIVA'!K61</f>
        <v>2828.36</v>
      </c>
      <c r="E29" s="238">
        <f>D29</f>
        <v>2828.36</v>
      </c>
      <c r="F29" s="238">
        <f t="shared" ref="F29:O29" si="8">E29</f>
        <v>2828.36</v>
      </c>
      <c r="G29" s="238">
        <f t="shared" si="8"/>
        <v>2828.36</v>
      </c>
      <c r="H29" s="238">
        <f t="shared" si="8"/>
        <v>2828.36</v>
      </c>
      <c r="I29" s="238">
        <f t="shared" si="8"/>
        <v>2828.36</v>
      </c>
      <c r="J29" s="238">
        <f t="shared" si="8"/>
        <v>2828.36</v>
      </c>
      <c r="K29" s="238">
        <f t="shared" si="8"/>
        <v>2828.36</v>
      </c>
      <c r="L29" s="238">
        <f t="shared" si="8"/>
        <v>2828.36</v>
      </c>
      <c r="M29" s="238">
        <f t="shared" si="8"/>
        <v>2828.36</v>
      </c>
      <c r="N29" s="238">
        <f t="shared" si="8"/>
        <v>2828.36</v>
      </c>
      <c r="O29" s="239">
        <f t="shared" si="8"/>
        <v>2828.36</v>
      </c>
      <c r="P29" s="277">
        <f>SUM(D29:O29)</f>
        <v>33940.32</v>
      </c>
    </row>
    <row r="30" spans="1:17" ht="2" customHeight="1" thickBot="1" x14ac:dyDescent="0.4">
      <c r="A30" s="278"/>
      <c r="B30" s="279"/>
      <c r="C30" s="206"/>
      <c r="D30" s="280"/>
      <c r="E30" s="280"/>
      <c r="F30" s="281"/>
      <c r="G30" s="247"/>
      <c r="H30" s="242"/>
      <c r="I30" s="282"/>
      <c r="J30" s="282"/>
      <c r="K30" s="282"/>
      <c r="L30" s="282"/>
      <c r="M30" s="282"/>
      <c r="N30" s="282"/>
      <c r="O30" s="282"/>
      <c r="P30" s="283"/>
    </row>
    <row r="31" spans="1:17" ht="18.5" customHeight="1" x14ac:dyDescent="0.35">
      <c r="A31" s="529">
        <f>'[3]ORÇAMENTO - CAPS'!A57</f>
        <v>6</v>
      </c>
      <c r="B31" s="531" t="s">
        <v>465</v>
      </c>
      <c r="C31" s="533">
        <f>'1. Serviços Manut. PREVENTIVA'!J64</f>
        <v>22949.040000000001</v>
      </c>
      <c r="D31" s="248">
        <f>D32/$C$31</f>
        <v>8.3333333333333329E-2</v>
      </c>
      <c r="E31" s="248">
        <f t="shared" ref="E31:O31" si="9">E32/$C$31</f>
        <v>8.3333333333333329E-2</v>
      </c>
      <c r="F31" s="248">
        <f t="shared" si="9"/>
        <v>8.3333333333333329E-2</v>
      </c>
      <c r="G31" s="248">
        <f t="shared" si="9"/>
        <v>8.3333333333333329E-2</v>
      </c>
      <c r="H31" s="248">
        <f t="shared" si="9"/>
        <v>8.3333333333333329E-2</v>
      </c>
      <c r="I31" s="248">
        <f t="shared" si="9"/>
        <v>8.3333333333333329E-2</v>
      </c>
      <c r="J31" s="248">
        <f t="shared" si="9"/>
        <v>8.3333333333333329E-2</v>
      </c>
      <c r="K31" s="248">
        <f t="shared" si="9"/>
        <v>8.3333333333333329E-2</v>
      </c>
      <c r="L31" s="248">
        <f t="shared" si="9"/>
        <v>8.3333333333333329E-2</v>
      </c>
      <c r="M31" s="248">
        <f t="shared" si="9"/>
        <v>8.3333333333333329E-2</v>
      </c>
      <c r="N31" s="248">
        <f t="shared" si="9"/>
        <v>8.3333333333333329E-2</v>
      </c>
      <c r="O31" s="249">
        <f t="shared" si="9"/>
        <v>8.3333333333333329E-2</v>
      </c>
      <c r="P31" s="276">
        <f>SUM(D31:O31)</f>
        <v>1</v>
      </c>
    </row>
    <row r="32" spans="1:17" ht="21.5" customHeight="1" thickBot="1" x14ac:dyDescent="0.4">
      <c r="A32" s="530"/>
      <c r="B32" s="532"/>
      <c r="C32" s="532"/>
      <c r="D32" s="245">
        <f>'1. Serviços Manut. PREVENTIVA'!I65</f>
        <v>1912.42</v>
      </c>
      <c r="E32" s="245">
        <f>'1. Serviços Manut. PREVENTIVA'!I65</f>
        <v>1912.42</v>
      </c>
      <c r="F32" s="245">
        <f>D32</f>
        <v>1912.42</v>
      </c>
      <c r="G32" s="245">
        <f t="shared" ref="G32:O32" si="10">E32</f>
        <v>1912.42</v>
      </c>
      <c r="H32" s="245">
        <f t="shared" si="10"/>
        <v>1912.42</v>
      </c>
      <c r="I32" s="245">
        <f t="shared" si="10"/>
        <v>1912.42</v>
      </c>
      <c r="J32" s="245">
        <f t="shared" si="10"/>
        <v>1912.42</v>
      </c>
      <c r="K32" s="245">
        <f t="shared" si="10"/>
        <v>1912.42</v>
      </c>
      <c r="L32" s="245">
        <f t="shared" si="10"/>
        <v>1912.42</v>
      </c>
      <c r="M32" s="245">
        <f t="shared" si="10"/>
        <v>1912.42</v>
      </c>
      <c r="N32" s="245">
        <f t="shared" si="10"/>
        <v>1912.42</v>
      </c>
      <c r="O32" s="250">
        <f t="shared" si="10"/>
        <v>1912.42</v>
      </c>
      <c r="P32" s="277">
        <f>SUM(D32:O32)</f>
        <v>22949.039999999994</v>
      </c>
    </row>
    <row r="33" spans="1:16" ht="2" customHeight="1" thickBot="1" x14ac:dyDescent="0.4">
      <c r="A33" s="278"/>
      <c r="B33" s="279"/>
      <c r="C33" s="206"/>
      <c r="D33" s="280"/>
      <c r="E33" s="280"/>
      <c r="F33" s="281"/>
      <c r="G33" s="242"/>
      <c r="H33" s="282"/>
      <c r="I33" s="282"/>
      <c r="J33" s="282"/>
      <c r="K33" s="282"/>
      <c r="L33" s="282"/>
      <c r="M33" s="282"/>
      <c r="N33" s="282"/>
      <c r="O33" s="282"/>
      <c r="P33" s="283"/>
    </row>
    <row r="34" spans="1:16" ht="26" customHeight="1" x14ac:dyDescent="0.35">
      <c r="A34" s="526">
        <f>'[3]ORÇAMENTO - CAPS'!A62</f>
        <v>7</v>
      </c>
      <c r="B34" s="528" t="s">
        <v>488</v>
      </c>
      <c r="C34" s="523">
        <f>'1. Serviços Manut. PREVENTIVA'!J67</f>
        <v>37957.08</v>
      </c>
      <c r="D34" s="251">
        <f>D35/$C$34</f>
        <v>8.3333333333333329E-2</v>
      </c>
      <c r="E34" s="251">
        <f t="shared" ref="E34:O34" si="11">E35/$C$34</f>
        <v>8.3333333333333329E-2</v>
      </c>
      <c r="F34" s="251">
        <f t="shared" si="11"/>
        <v>8.3333333333333329E-2</v>
      </c>
      <c r="G34" s="251">
        <f t="shared" si="11"/>
        <v>8.3333333333333329E-2</v>
      </c>
      <c r="H34" s="251">
        <f t="shared" si="11"/>
        <v>8.3333333333333329E-2</v>
      </c>
      <c r="I34" s="251">
        <f t="shared" si="11"/>
        <v>8.3333333333333329E-2</v>
      </c>
      <c r="J34" s="251">
        <f t="shared" si="11"/>
        <v>8.3333333333333329E-2</v>
      </c>
      <c r="K34" s="251">
        <f t="shared" si="11"/>
        <v>8.3333333333333329E-2</v>
      </c>
      <c r="L34" s="251">
        <f t="shared" si="11"/>
        <v>8.3333333333333329E-2</v>
      </c>
      <c r="M34" s="251">
        <f t="shared" si="11"/>
        <v>8.3333333333333329E-2</v>
      </c>
      <c r="N34" s="251">
        <f t="shared" si="11"/>
        <v>8.3333333333333329E-2</v>
      </c>
      <c r="O34" s="252">
        <f t="shared" si="11"/>
        <v>8.3333333333333329E-2</v>
      </c>
      <c r="P34" s="276">
        <f>SUM(D34:O34)</f>
        <v>1</v>
      </c>
    </row>
    <row r="35" spans="1:16" ht="31" customHeight="1" thickBot="1" x14ac:dyDescent="0.4">
      <c r="A35" s="527"/>
      <c r="B35" s="524"/>
      <c r="C35" s="524"/>
      <c r="D35" s="238">
        <f>$C$34/12</f>
        <v>3163.09</v>
      </c>
      <c r="E35" s="238">
        <f t="shared" ref="E35:O35" si="12">$C$34/12</f>
        <v>3163.09</v>
      </c>
      <c r="F35" s="238">
        <f t="shared" si="12"/>
        <v>3163.09</v>
      </c>
      <c r="G35" s="238">
        <f t="shared" si="12"/>
        <v>3163.09</v>
      </c>
      <c r="H35" s="238">
        <f t="shared" si="12"/>
        <v>3163.09</v>
      </c>
      <c r="I35" s="238">
        <f t="shared" si="12"/>
        <v>3163.09</v>
      </c>
      <c r="J35" s="238">
        <f t="shared" si="12"/>
        <v>3163.09</v>
      </c>
      <c r="K35" s="238">
        <f t="shared" si="12"/>
        <v>3163.09</v>
      </c>
      <c r="L35" s="238">
        <f t="shared" si="12"/>
        <v>3163.09</v>
      </c>
      <c r="M35" s="238">
        <f t="shared" si="12"/>
        <v>3163.09</v>
      </c>
      <c r="N35" s="238">
        <f t="shared" si="12"/>
        <v>3163.09</v>
      </c>
      <c r="O35" s="239">
        <f t="shared" si="12"/>
        <v>3163.09</v>
      </c>
      <c r="P35" s="277">
        <f>SUM(D35:O35)</f>
        <v>37957.08</v>
      </c>
    </row>
    <row r="36" spans="1:16" s="208" customFormat="1" ht="8.5" customHeight="1" thickBot="1" x14ac:dyDescent="0.4">
      <c r="A36" s="285"/>
      <c r="B36" s="286"/>
      <c r="C36" s="233"/>
      <c r="D36" s="287"/>
      <c r="E36" s="287"/>
      <c r="F36" s="288"/>
      <c r="G36" s="289"/>
      <c r="H36" s="289"/>
      <c r="I36" s="290"/>
      <c r="J36" s="289"/>
      <c r="K36" s="289"/>
      <c r="L36" s="289"/>
      <c r="M36" s="289"/>
      <c r="N36" s="289"/>
      <c r="O36" s="289"/>
      <c r="P36" s="291"/>
    </row>
    <row r="37" spans="1:16" ht="21.5" customHeight="1" thickBot="1" x14ac:dyDescent="0.4">
      <c r="A37" s="517"/>
      <c r="B37" s="518"/>
      <c r="C37" s="253">
        <f>SUM(C16:C36)</f>
        <v>312694.23</v>
      </c>
      <c r="D37" s="519"/>
      <c r="E37" s="519"/>
      <c r="F37" s="519"/>
      <c r="G37" s="519"/>
      <c r="H37" s="519"/>
      <c r="I37" s="519"/>
      <c r="J37" s="519"/>
      <c r="K37" s="519"/>
      <c r="L37" s="519"/>
      <c r="M37" s="519"/>
      <c r="N37" s="519"/>
      <c r="O37" s="519"/>
      <c r="P37" s="292"/>
    </row>
    <row r="38" spans="1:16" s="208" customFormat="1" ht="2" customHeight="1" thickBot="1" x14ac:dyDescent="0.4">
      <c r="A38" s="285"/>
      <c r="B38" s="286"/>
      <c r="C38" s="233"/>
      <c r="D38" s="293"/>
      <c r="E38" s="293"/>
      <c r="F38" s="293"/>
      <c r="G38" s="289"/>
      <c r="H38" s="289"/>
      <c r="I38" s="254"/>
      <c r="J38" s="254"/>
      <c r="K38" s="254"/>
      <c r="L38" s="254"/>
      <c r="M38" s="254"/>
      <c r="N38" s="254"/>
      <c r="O38" s="254"/>
      <c r="P38" s="291"/>
    </row>
    <row r="39" spans="1:16" ht="24.5" customHeight="1" x14ac:dyDescent="0.35">
      <c r="A39" s="517"/>
      <c r="B39" s="520"/>
      <c r="C39" s="235" t="s">
        <v>449</v>
      </c>
      <c r="D39" s="256">
        <f>D17+D20+D23+D26+D29+D32+D35</f>
        <v>90467.766799999983</v>
      </c>
      <c r="E39" s="256">
        <f t="shared" ref="E39:O39" si="13">E17+E20+E23+E26+E29+E32+E35</f>
        <v>15422.0432</v>
      </c>
      <c r="F39" s="256">
        <f t="shared" si="13"/>
        <v>15422.0432</v>
      </c>
      <c r="G39" s="256">
        <f t="shared" si="13"/>
        <v>15422.0432</v>
      </c>
      <c r="H39" s="256">
        <f t="shared" si="13"/>
        <v>15422.0432</v>
      </c>
      <c r="I39" s="256">
        <f t="shared" si="13"/>
        <v>15422.0432</v>
      </c>
      <c r="J39" s="256">
        <f t="shared" si="13"/>
        <v>68006.031199999998</v>
      </c>
      <c r="K39" s="256">
        <f t="shared" si="13"/>
        <v>15422.0432</v>
      </c>
      <c r="L39" s="256">
        <f t="shared" si="13"/>
        <v>15422.0432</v>
      </c>
      <c r="M39" s="256">
        <f t="shared" si="13"/>
        <v>15422.0432</v>
      </c>
      <c r="N39" s="256">
        <f t="shared" si="13"/>
        <v>15422.0432</v>
      </c>
      <c r="O39" s="256">
        <f t="shared" si="13"/>
        <v>15422.0432</v>
      </c>
      <c r="P39" s="292"/>
    </row>
    <row r="40" spans="1:16" ht="23.5" customHeight="1" thickBot="1" x14ac:dyDescent="0.4">
      <c r="A40" s="521"/>
      <c r="B40" s="522"/>
      <c r="C40" s="234" t="s">
        <v>450</v>
      </c>
      <c r="D40" s="257">
        <f>D39</f>
        <v>90467.766799999983</v>
      </c>
      <c r="E40" s="255">
        <f t="shared" ref="E40:K40" si="14">D40+E39</f>
        <v>105889.80999999998</v>
      </c>
      <c r="F40" s="255">
        <f t="shared" si="14"/>
        <v>121311.85319999998</v>
      </c>
      <c r="G40" s="255">
        <f t="shared" si="14"/>
        <v>136733.89639999997</v>
      </c>
      <c r="H40" s="255">
        <f t="shared" si="14"/>
        <v>152155.93959999998</v>
      </c>
      <c r="I40" s="255">
        <f t="shared" si="14"/>
        <v>167577.9828</v>
      </c>
      <c r="J40" s="255">
        <f t="shared" si="14"/>
        <v>235584.014</v>
      </c>
      <c r="K40" s="255">
        <f t="shared" si="14"/>
        <v>251006.05719999998</v>
      </c>
      <c r="L40" s="255">
        <f t="shared" ref="L40" si="15">K40+L39</f>
        <v>266428.1004</v>
      </c>
      <c r="M40" s="255">
        <f t="shared" ref="M40" si="16">L40+M39</f>
        <v>281850.14360000001</v>
      </c>
      <c r="N40" s="255">
        <f t="shared" ref="N40" si="17">M40+N39</f>
        <v>297272.18680000002</v>
      </c>
      <c r="O40" s="255">
        <f t="shared" ref="O40" si="18">N40+O39</f>
        <v>312694.23000000004</v>
      </c>
      <c r="P40" s="294"/>
    </row>
    <row r="41" spans="1:16" ht="11" customHeight="1" x14ac:dyDescent="0.45"/>
    <row r="42" spans="1:16" ht="7" customHeight="1" x14ac:dyDescent="0.45"/>
  </sheetData>
  <mergeCells count="36">
    <mergeCell ref="B9:P9"/>
    <mergeCell ref="A1:P6"/>
    <mergeCell ref="A7:P7"/>
    <mergeCell ref="B10:E10"/>
    <mergeCell ref="B11:E11"/>
    <mergeCell ref="J10:P12"/>
    <mergeCell ref="F10:G10"/>
    <mergeCell ref="H10:I10"/>
    <mergeCell ref="F11:G11"/>
    <mergeCell ref="H11:I11"/>
    <mergeCell ref="B12:I12"/>
    <mergeCell ref="A34:A35"/>
    <mergeCell ref="B34:B35"/>
    <mergeCell ref="C34:C35"/>
    <mergeCell ref="A25:A26"/>
    <mergeCell ref="B25:B26"/>
    <mergeCell ref="C25:C26"/>
    <mergeCell ref="A28:A29"/>
    <mergeCell ref="B28:B29"/>
    <mergeCell ref="C28:C29"/>
    <mergeCell ref="A37:B37"/>
    <mergeCell ref="D37:O37"/>
    <mergeCell ref="A39:B40"/>
    <mergeCell ref="C22:C23"/>
    <mergeCell ref="E13:F13"/>
    <mergeCell ref="A16:A17"/>
    <mergeCell ref="B16:B17"/>
    <mergeCell ref="C16:C17"/>
    <mergeCell ref="A19:A20"/>
    <mergeCell ref="B19:B20"/>
    <mergeCell ref="C19:C20"/>
    <mergeCell ref="A22:A23"/>
    <mergeCell ref="B22:B23"/>
    <mergeCell ref="A31:A32"/>
    <mergeCell ref="B31:B32"/>
    <mergeCell ref="C31:C32"/>
  </mergeCells>
  <phoneticPr fontId="19" type="noConversion"/>
  <conditionalFormatting sqref="D16:O17 D31:O32 D25:O26 D22:O23 D19:O20">
    <cfRule type="cellIs" dxfId="19" priority="37" operator="greaterThan">
      <formula>0</formula>
    </cfRule>
  </conditionalFormatting>
  <conditionalFormatting sqref="D28:O29">
    <cfRule type="cellIs" dxfId="18" priority="36" operator="greaterThan">
      <formula>0</formula>
    </cfRule>
  </conditionalFormatting>
  <conditionalFormatting sqref="D34:O35">
    <cfRule type="cellIs" dxfId="17" priority="35" operator="greaterThan">
      <formula>0</formula>
    </cfRule>
  </conditionalFormatting>
  <printOptions horizontalCentered="1" verticalCentered="1"/>
  <pageMargins left="0" right="0" top="0.19685039370078741" bottom="0" header="0" footer="0"/>
  <pageSetup paperSize="9" scale="70" orientation="landscape" horizontalDpi="300" verticalDpi="300" r:id="rId1"/>
  <rowBreaks count="1" manualBreakCount="1">
    <brk id="40" max="15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163F6-633F-4E57-AE4F-FE03049D4ED8}">
  <sheetPr>
    <tabColor rgb="FF002060"/>
  </sheetPr>
  <dimension ref="A1:J38"/>
  <sheetViews>
    <sheetView view="pageBreakPreview" topLeftCell="A13" zoomScale="115" zoomScaleNormal="100" zoomScaleSheetLayoutView="115" workbookViewId="0">
      <selection activeCell="K13" sqref="K1:K1048576"/>
    </sheetView>
  </sheetViews>
  <sheetFormatPr defaultRowHeight="18.5" x14ac:dyDescent="0.45"/>
  <cols>
    <col min="1" max="1" width="7.81640625" style="34" customWidth="1"/>
    <col min="2" max="2" width="41.1796875" style="188" customWidth="1"/>
    <col min="3" max="3" width="18.81640625" style="188" customWidth="1"/>
    <col min="4" max="9" width="15.6328125" style="188" customWidth="1"/>
    <col min="10" max="10" width="15.6328125" style="231" customWidth="1"/>
    <col min="11" max="16384" width="8.7265625" style="188"/>
  </cols>
  <sheetData>
    <row r="1" spans="1:10" ht="14.5" x14ac:dyDescent="0.35">
      <c r="A1" s="537" t="s">
        <v>451</v>
      </c>
      <c r="B1" s="538"/>
      <c r="C1" s="538"/>
      <c r="D1" s="538"/>
      <c r="E1" s="538"/>
      <c r="F1" s="538"/>
      <c r="G1" s="538"/>
      <c r="H1" s="538"/>
      <c r="I1" s="538"/>
      <c r="J1" s="539"/>
    </row>
    <row r="2" spans="1:10" ht="14.5" x14ac:dyDescent="0.35">
      <c r="A2" s="540"/>
      <c r="B2" s="541"/>
      <c r="C2" s="541"/>
      <c r="D2" s="541"/>
      <c r="E2" s="541"/>
      <c r="F2" s="541"/>
      <c r="G2" s="541"/>
      <c r="H2" s="541"/>
      <c r="I2" s="541"/>
      <c r="J2" s="542"/>
    </row>
    <row r="3" spans="1:10" ht="14.5" x14ac:dyDescent="0.35">
      <c r="A3" s="540"/>
      <c r="B3" s="541"/>
      <c r="C3" s="541"/>
      <c r="D3" s="541"/>
      <c r="E3" s="541"/>
      <c r="F3" s="541"/>
      <c r="G3" s="541"/>
      <c r="H3" s="541"/>
      <c r="I3" s="541"/>
      <c r="J3" s="542"/>
    </row>
    <row r="4" spans="1:10" ht="14.5" x14ac:dyDescent="0.35">
      <c r="A4" s="540"/>
      <c r="B4" s="541"/>
      <c r="C4" s="541"/>
      <c r="D4" s="541"/>
      <c r="E4" s="541"/>
      <c r="F4" s="541"/>
      <c r="G4" s="541"/>
      <c r="H4" s="541"/>
      <c r="I4" s="541"/>
      <c r="J4" s="542"/>
    </row>
    <row r="5" spans="1:10" ht="14.5" x14ac:dyDescent="0.35">
      <c r="A5" s="540"/>
      <c r="B5" s="541"/>
      <c r="C5" s="541"/>
      <c r="D5" s="541"/>
      <c r="E5" s="541"/>
      <c r="F5" s="541"/>
      <c r="G5" s="541"/>
      <c r="H5" s="541"/>
      <c r="I5" s="541"/>
      <c r="J5" s="542"/>
    </row>
    <row r="6" spans="1:10" ht="15" thickBot="1" x14ac:dyDescent="0.4">
      <c r="A6" s="543"/>
      <c r="B6" s="544"/>
      <c r="C6" s="544"/>
      <c r="D6" s="544"/>
      <c r="E6" s="544"/>
      <c r="F6" s="544"/>
      <c r="G6" s="544"/>
      <c r="H6" s="544"/>
      <c r="I6" s="544"/>
      <c r="J6" s="545"/>
    </row>
    <row r="7" spans="1:10" ht="15.5" thickBot="1" x14ac:dyDescent="0.4">
      <c r="A7" s="546" t="s">
        <v>487</v>
      </c>
      <c r="B7" s="547"/>
      <c r="C7" s="547"/>
      <c r="D7" s="547"/>
      <c r="E7" s="547"/>
      <c r="F7" s="547"/>
      <c r="G7" s="547"/>
      <c r="H7" s="547"/>
      <c r="I7" s="547"/>
      <c r="J7" s="548"/>
    </row>
    <row r="8" spans="1:10" ht="6" customHeight="1" thickBot="1" x14ac:dyDescent="0.5">
      <c r="A8" s="258"/>
      <c r="B8" s="207"/>
      <c r="C8" s="207"/>
      <c r="D8" s="207"/>
      <c r="E8" s="207"/>
      <c r="F8" s="207"/>
      <c r="G8" s="207"/>
      <c r="H8" s="207"/>
      <c r="I8" s="207"/>
      <c r="J8" s="232"/>
    </row>
    <row r="9" spans="1:10" ht="54" customHeight="1" thickBot="1" x14ac:dyDescent="0.4">
      <c r="A9" s="202" t="s">
        <v>0</v>
      </c>
      <c r="B9" s="596" t="s">
        <v>498</v>
      </c>
      <c r="C9" s="597"/>
      <c r="D9" s="597"/>
      <c r="E9" s="597"/>
      <c r="F9" s="597"/>
      <c r="G9" s="597"/>
      <c r="H9" s="597"/>
      <c r="I9" s="597"/>
      <c r="J9" s="598"/>
    </row>
    <row r="10" spans="1:10" ht="26.5" customHeight="1" thickBot="1" x14ac:dyDescent="0.4">
      <c r="A10" s="202" t="s">
        <v>1</v>
      </c>
      <c r="B10" s="599" t="s">
        <v>2</v>
      </c>
      <c r="C10" s="599"/>
      <c r="D10" s="599"/>
      <c r="E10" s="599"/>
      <c r="F10" s="576" t="s">
        <v>499</v>
      </c>
      <c r="G10" s="577"/>
      <c r="H10" s="577"/>
      <c r="I10" s="577"/>
      <c r="J10" s="578"/>
    </row>
    <row r="11" spans="1:10" ht="27.5" customHeight="1" thickBot="1" x14ac:dyDescent="0.4">
      <c r="A11" s="202" t="s">
        <v>3</v>
      </c>
      <c r="B11" s="599" t="s">
        <v>149</v>
      </c>
      <c r="C11" s="599"/>
      <c r="D11" s="599"/>
      <c r="E11" s="599"/>
      <c r="F11" s="579"/>
      <c r="G11" s="580"/>
      <c r="H11" s="580"/>
      <c r="I11" s="580"/>
      <c r="J11" s="581"/>
    </row>
    <row r="12" spans="1:10" ht="26.5" customHeight="1" thickBot="1" x14ac:dyDescent="0.4">
      <c r="A12" s="202" t="s">
        <v>4</v>
      </c>
      <c r="B12" s="573" t="s">
        <v>489</v>
      </c>
      <c r="C12" s="574"/>
      <c r="D12" s="574"/>
      <c r="E12" s="575"/>
      <c r="F12" s="582"/>
      <c r="G12" s="583"/>
      <c r="H12" s="583"/>
      <c r="I12" s="583"/>
      <c r="J12" s="584"/>
    </row>
    <row r="13" spans="1:10" ht="3" customHeight="1" thickBot="1" x14ac:dyDescent="0.4">
      <c r="A13" s="328"/>
      <c r="B13" s="329"/>
      <c r="C13" s="330"/>
      <c r="D13" s="330"/>
      <c r="E13" s="595"/>
      <c r="F13" s="595"/>
      <c r="G13" s="331"/>
      <c r="H13" s="331"/>
      <c r="I13" s="331"/>
      <c r="J13" s="326"/>
    </row>
    <row r="14" spans="1:10" ht="48.5" customHeight="1" thickBot="1" x14ac:dyDescent="0.4">
      <c r="A14" s="332" t="s">
        <v>5</v>
      </c>
      <c r="B14" s="333" t="s">
        <v>439</v>
      </c>
      <c r="C14" s="332" t="s">
        <v>8</v>
      </c>
      <c r="D14" s="334" t="s">
        <v>440</v>
      </c>
      <c r="E14" s="335" t="s">
        <v>441</v>
      </c>
      <c r="F14" s="333" t="s">
        <v>442</v>
      </c>
      <c r="G14" s="333" t="s">
        <v>443</v>
      </c>
      <c r="H14" s="333" t="s">
        <v>444</v>
      </c>
      <c r="I14" s="333" t="s">
        <v>445</v>
      </c>
      <c r="J14" s="263" t="s">
        <v>455</v>
      </c>
    </row>
    <row r="15" spans="1:10" ht="4.5" customHeight="1" thickBot="1" x14ac:dyDescent="0.4">
      <c r="A15" s="336"/>
      <c r="B15" s="337"/>
      <c r="C15" s="337"/>
      <c r="D15" s="337"/>
      <c r="E15" s="337"/>
      <c r="F15" s="337"/>
      <c r="G15" s="331"/>
      <c r="H15" s="331"/>
      <c r="I15" s="331"/>
      <c r="J15" s="326"/>
    </row>
    <row r="16" spans="1:10" ht="20" customHeight="1" x14ac:dyDescent="0.35">
      <c r="A16" s="585">
        <v>1</v>
      </c>
      <c r="B16" s="587" t="s">
        <v>466</v>
      </c>
      <c r="C16" s="589">
        <f>0.15*'Planilha SINTÉTICA'!G23</f>
        <v>125758.4025</v>
      </c>
      <c r="D16" s="296"/>
      <c r="E16" s="296"/>
      <c r="F16" s="296"/>
      <c r="G16" s="296">
        <v>0.5</v>
      </c>
      <c r="H16" s="296">
        <v>0.5</v>
      </c>
      <c r="I16" s="296"/>
      <c r="J16" s="297">
        <f>SUM(D16:I16)</f>
        <v>1</v>
      </c>
    </row>
    <row r="17" spans="1:10" ht="20" customHeight="1" thickBot="1" x14ac:dyDescent="0.4">
      <c r="A17" s="586"/>
      <c r="B17" s="588"/>
      <c r="C17" s="588"/>
      <c r="D17" s="298">
        <f>D16*C16</f>
        <v>0</v>
      </c>
      <c r="E17" s="298"/>
      <c r="F17" s="298"/>
      <c r="G17" s="298">
        <f>G16*C16</f>
        <v>62879.201249999998</v>
      </c>
      <c r="H17" s="298">
        <f>H16*C16</f>
        <v>62879.201249999998</v>
      </c>
      <c r="I17" s="298"/>
      <c r="J17" s="299">
        <f>SUM(D17:I17)</f>
        <v>125758.4025</v>
      </c>
    </row>
    <row r="18" spans="1:10" ht="5.5" customHeight="1" thickBot="1" x14ac:dyDescent="0.4">
      <c r="A18" s="300"/>
      <c r="B18" s="301"/>
      <c r="C18" s="302"/>
      <c r="D18" s="303"/>
      <c r="E18" s="303"/>
      <c r="F18" s="303"/>
      <c r="G18" s="304"/>
      <c r="H18" s="304"/>
      <c r="I18" s="304"/>
      <c r="J18" s="305"/>
    </row>
    <row r="19" spans="1:10" ht="20" customHeight="1" x14ac:dyDescent="0.35">
      <c r="A19" s="590">
        <v>2</v>
      </c>
      <c r="B19" s="592" t="s">
        <v>496</v>
      </c>
      <c r="C19" s="594">
        <f>0.2*'Planilha SINTÉTICA'!G23</f>
        <v>167677.87</v>
      </c>
      <c r="D19" s="306">
        <v>0.5</v>
      </c>
      <c r="E19" s="306">
        <v>0.5</v>
      </c>
      <c r="F19" s="306"/>
      <c r="G19" s="306"/>
      <c r="H19" s="306"/>
      <c r="I19" s="306"/>
      <c r="J19" s="297">
        <f>SUM(D19:I19)</f>
        <v>1</v>
      </c>
    </row>
    <row r="20" spans="1:10" ht="20" customHeight="1" thickBot="1" x14ac:dyDescent="0.4">
      <c r="A20" s="591"/>
      <c r="B20" s="593"/>
      <c r="C20" s="593"/>
      <c r="D20" s="307">
        <f>D19*C19</f>
        <v>83838.934999999998</v>
      </c>
      <c r="E20" s="307">
        <f>E19*C19</f>
        <v>83838.934999999998</v>
      </c>
      <c r="F20" s="307">
        <f>'1. Serviços Manut. PREVENTIVA'!K72</f>
        <v>0</v>
      </c>
      <c r="G20" s="307">
        <f>'1. Serviços Manut. PREVENTIVA'!K72</f>
        <v>0</v>
      </c>
      <c r="H20" s="307">
        <f>'1. Serviços Manut. PREVENTIVA'!K72</f>
        <v>0</v>
      </c>
      <c r="I20" s="307">
        <f>'1. Serviços Manut. PREVENTIVA'!K72</f>
        <v>0</v>
      </c>
      <c r="J20" s="299">
        <f>SUM(D20:I20)</f>
        <v>167677.87</v>
      </c>
    </row>
    <row r="21" spans="1:10" ht="8.5" customHeight="1" thickBot="1" x14ac:dyDescent="0.4">
      <c r="A21" s="300"/>
      <c r="B21" s="301"/>
      <c r="C21" s="302"/>
      <c r="D21" s="303"/>
      <c r="E21" s="303"/>
      <c r="F21" s="303"/>
      <c r="G21" s="308"/>
      <c r="H21" s="304"/>
      <c r="I21" s="304"/>
      <c r="J21" s="305"/>
    </row>
    <row r="22" spans="1:10" ht="20" customHeight="1" x14ac:dyDescent="0.35">
      <c r="A22" s="585">
        <v>3</v>
      </c>
      <c r="B22" s="587" t="s">
        <v>458</v>
      </c>
      <c r="C22" s="589">
        <f>0.15*'Planilha SINTÉTICA'!G23</f>
        <v>125758.4025</v>
      </c>
      <c r="D22" s="296"/>
      <c r="E22" s="296"/>
      <c r="F22" s="296">
        <v>0.5</v>
      </c>
      <c r="G22" s="296">
        <v>0.5</v>
      </c>
      <c r="H22" s="296"/>
      <c r="I22" s="296"/>
      <c r="J22" s="297">
        <f>SUM(D22:I22)</f>
        <v>1</v>
      </c>
    </row>
    <row r="23" spans="1:10" ht="20" customHeight="1" thickBot="1" x14ac:dyDescent="0.4">
      <c r="A23" s="586"/>
      <c r="B23" s="588"/>
      <c r="C23" s="588"/>
      <c r="D23" s="298">
        <f>SUM('1. Serviços Manut. PREVENTIVA'!K82:K84)</f>
        <v>0</v>
      </c>
      <c r="E23" s="298">
        <f>'1. Serviços Manut. PREVENTIVA'!K82</f>
        <v>0</v>
      </c>
      <c r="F23" s="298">
        <f>F22*C22</f>
        <v>62879.201249999998</v>
      </c>
      <c r="G23" s="298">
        <f>G22*C22</f>
        <v>62879.201249999998</v>
      </c>
      <c r="H23" s="298">
        <f>'1. Serviços Manut. PREVENTIVA'!K82</f>
        <v>0</v>
      </c>
      <c r="I23" s="298">
        <f>'1. Serviços Manut. PREVENTIVA'!K82</f>
        <v>0</v>
      </c>
      <c r="J23" s="299">
        <f>SUM(D23:I23)</f>
        <v>125758.4025</v>
      </c>
    </row>
    <row r="24" spans="1:10" ht="7" customHeight="1" thickBot="1" x14ac:dyDescent="0.4">
      <c r="A24" s="300"/>
      <c r="B24" s="301"/>
      <c r="C24" s="302"/>
      <c r="D24" s="303"/>
      <c r="E24" s="303"/>
      <c r="F24" s="303"/>
      <c r="G24" s="309"/>
      <c r="H24" s="304"/>
      <c r="I24" s="304"/>
      <c r="J24" s="305"/>
    </row>
    <row r="25" spans="1:10" ht="20" customHeight="1" x14ac:dyDescent="0.35">
      <c r="A25" s="590">
        <v>4</v>
      </c>
      <c r="B25" s="592" t="s">
        <v>497</v>
      </c>
      <c r="C25" s="594">
        <f>0.2*'Planilha SINTÉTICA'!G23</f>
        <v>167677.87</v>
      </c>
      <c r="D25" s="310">
        <v>0.3</v>
      </c>
      <c r="E25" s="310">
        <v>0.4</v>
      </c>
      <c r="F25" s="310">
        <v>0.3</v>
      </c>
      <c r="G25" s="310"/>
      <c r="H25" s="310"/>
      <c r="I25" s="310"/>
      <c r="J25" s="297">
        <f>SUM(D25:I25)</f>
        <v>1</v>
      </c>
    </row>
    <row r="26" spans="1:10" ht="20" customHeight="1" thickBot="1" x14ac:dyDescent="0.4">
      <c r="A26" s="591"/>
      <c r="B26" s="593"/>
      <c r="C26" s="593"/>
      <c r="D26" s="311">
        <f>D25*C25</f>
        <v>50303.360999999997</v>
      </c>
      <c r="E26" s="312">
        <f>E25*C25</f>
        <v>67071.148000000001</v>
      </c>
      <c r="F26" s="312">
        <f>F25*C25</f>
        <v>50303.360999999997</v>
      </c>
      <c r="G26" s="312"/>
      <c r="H26" s="312"/>
      <c r="I26" s="312"/>
      <c r="J26" s="299">
        <f>SUM(D26:I26)</f>
        <v>167677.87</v>
      </c>
    </row>
    <row r="27" spans="1:10" ht="3.5" customHeight="1" thickBot="1" x14ac:dyDescent="0.4">
      <c r="A27" s="300"/>
      <c r="B27" s="301"/>
      <c r="C27" s="302"/>
      <c r="D27" s="303"/>
      <c r="E27" s="303"/>
      <c r="F27" s="303"/>
      <c r="G27" s="313"/>
      <c r="H27" s="304"/>
      <c r="I27" s="304"/>
      <c r="J27" s="305"/>
    </row>
    <row r="28" spans="1:10" ht="20" customHeight="1" x14ac:dyDescent="0.35">
      <c r="A28" s="585">
        <v>5</v>
      </c>
      <c r="B28" s="587" t="s">
        <v>459</v>
      </c>
      <c r="C28" s="589">
        <f>0.2*'Planilha SINTÉTICA'!G23</f>
        <v>167677.87</v>
      </c>
      <c r="D28" s="296"/>
      <c r="E28" s="296"/>
      <c r="F28" s="296"/>
      <c r="G28" s="296">
        <v>0.5</v>
      </c>
      <c r="H28" s="296">
        <v>0.5</v>
      </c>
      <c r="I28" s="296"/>
      <c r="J28" s="297">
        <f>SUM(D28:I28)</f>
        <v>1</v>
      </c>
    </row>
    <row r="29" spans="1:10" ht="20" customHeight="1" thickBot="1" x14ac:dyDescent="0.4">
      <c r="A29" s="586"/>
      <c r="B29" s="588"/>
      <c r="C29" s="588"/>
      <c r="D29" s="298">
        <f>'1. Serviços Manut. PREVENTIVA'!K104</f>
        <v>0</v>
      </c>
      <c r="E29" s="298">
        <f>D29</f>
        <v>0</v>
      </c>
      <c r="F29" s="298">
        <f>F28*C28</f>
        <v>0</v>
      </c>
      <c r="G29" s="298">
        <f>G28*C28</f>
        <v>83838.934999999998</v>
      </c>
      <c r="H29" s="298">
        <f>H28*C28</f>
        <v>83838.934999999998</v>
      </c>
      <c r="I29" s="298"/>
      <c r="J29" s="299">
        <f>SUM(D29:I29)</f>
        <v>167677.87</v>
      </c>
    </row>
    <row r="30" spans="1:10" ht="6" customHeight="1" thickBot="1" x14ac:dyDescent="0.4">
      <c r="A30" s="300"/>
      <c r="B30" s="301"/>
      <c r="C30" s="302"/>
      <c r="D30" s="303"/>
      <c r="E30" s="303"/>
      <c r="F30" s="303"/>
      <c r="G30" s="313"/>
      <c r="H30" s="308"/>
      <c r="I30" s="304"/>
      <c r="J30" s="305"/>
    </row>
    <row r="31" spans="1:10" ht="20" customHeight="1" x14ac:dyDescent="0.35">
      <c r="A31" s="590">
        <v>6</v>
      </c>
      <c r="B31" s="592" t="s">
        <v>495</v>
      </c>
      <c r="C31" s="594">
        <f>0.1*'Planilha SINTÉTICA'!G23</f>
        <v>83838.934999999998</v>
      </c>
      <c r="D31" s="310"/>
      <c r="E31" s="310"/>
      <c r="F31" s="310"/>
      <c r="G31" s="310"/>
      <c r="H31" s="310">
        <v>0.5</v>
      </c>
      <c r="I31" s="310">
        <v>0.5</v>
      </c>
      <c r="J31" s="297">
        <f>SUM(D31:I31)</f>
        <v>1</v>
      </c>
    </row>
    <row r="32" spans="1:10" ht="20" customHeight="1" thickBot="1" x14ac:dyDescent="0.4">
      <c r="A32" s="591"/>
      <c r="B32" s="593"/>
      <c r="C32" s="593"/>
      <c r="D32" s="311">
        <f>'1. Serviços Manut. PREVENTIVA'!I108</f>
        <v>0</v>
      </c>
      <c r="E32" s="311">
        <f>'1. Serviços Manut. PREVENTIVA'!I108</f>
        <v>0</v>
      </c>
      <c r="F32" s="311">
        <f>D32</f>
        <v>0</v>
      </c>
      <c r="G32" s="311">
        <f t="shared" ref="G32" si="0">E32</f>
        <v>0</v>
      </c>
      <c r="H32" s="311">
        <f>H31*C31</f>
        <v>41919.467499999999</v>
      </c>
      <c r="I32" s="311">
        <f>I31*C31</f>
        <v>41919.467499999999</v>
      </c>
      <c r="J32" s="299">
        <f>SUM(D32:I32)</f>
        <v>83838.934999999998</v>
      </c>
    </row>
    <row r="33" spans="1:10" ht="5.5" customHeight="1" thickBot="1" x14ac:dyDescent="0.4">
      <c r="A33" s="314"/>
      <c r="B33" s="315"/>
      <c r="C33" s="316"/>
      <c r="D33" s="317"/>
      <c r="E33" s="317"/>
      <c r="F33" s="317"/>
      <c r="G33" s="318"/>
      <c r="H33" s="318"/>
      <c r="I33" s="319"/>
      <c r="J33" s="320"/>
    </row>
    <row r="34" spans="1:10" ht="40" customHeight="1" thickBot="1" x14ac:dyDescent="0.4">
      <c r="A34" s="568"/>
      <c r="B34" s="569"/>
      <c r="C34" s="321">
        <f>SUM(C16:C33)</f>
        <v>838389.34999999986</v>
      </c>
      <c r="D34" s="570"/>
      <c r="E34" s="571"/>
      <c r="F34" s="571"/>
      <c r="G34" s="571"/>
      <c r="H34" s="571"/>
      <c r="I34" s="571"/>
      <c r="J34" s="322"/>
    </row>
    <row r="35" spans="1:10" ht="7" customHeight="1" thickBot="1" x14ac:dyDescent="0.4">
      <c r="A35" s="314"/>
      <c r="B35" s="315"/>
      <c r="C35" s="316"/>
      <c r="D35" s="323"/>
      <c r="E35" s="323"/>
      <c r="F35" s="323"/>
      <c r="G35" s="324"/>
      <c r="H35" s="324"/>
      <c r="I35" s="325"/>
      <c r="J35" s="326"/>
    </row>
    <row r="36" spans="1:10" ht="30" customHeight="1" x14ac:dyDescent="0.35">
      <c r="A36" s="568"/>
      <c r="B36" s="572"/>
      <c r="C36" s="327" t="s">
        <v>449</v>
      </c>
      <c r="D36" s="256">
        <f>D17+D20+D23+D26+D29+D32</f>
        <v>134142.296</v>
      </c>
      <c r="E36" s="256">
        <f>E17+E20+E23+E26+E29+E32</f>
        <v>150910.08299999998</v>
      </c>
      <c r="F36" s="256">
        <f t="shared" ref="F36:I36" si="1">F17+F20+F23+F26+F29+F32</f>
        <v>113182.56224999999</v>
      </c>
      <c r="G36" s="256">
        <f t="shared" si="1"/>
        <v>209597.33749999999</v>
      </c>
      <c r="H36" s="256">
        <f t="shared" si="1"/>
        <v>188637.60374999998</v>
      </c>
      <c r="I36" s="295">
        <f t="shared" si="1"/>
        <v>41919.467499999999</v>
      </c>
      <c r="J36" s="322"/>
    </row>
    <row r="37" spans="1:10" ht="30" customHeight="1" thickBot="1" x14ac:dyDescent="0.4">
      <c r="A37" s="568"/>
      <c r="B37" s="572"/>
      <c r="C37" s="354" t="s">
        <v>450</v>
      </c>
      <c r="D37" s="355">
        <f>D36</f>
        <v>134142.296</v>
      </c>
      <c r="E37" s="356">
        <f t="shared" ref="E37:I37" si="2">D37+E36</f>
        <v>285052.37899999996</v>
      </c>
      <c r="F37" s="356">
        <f t="shared" si="2"/>
        <v>398234.94124999992</v>
      </c>
      <c r="G37" s="356">
        <f t="shared" si="2"/>
        <v>607832.27874999994</v>
      </c>
      <c r="H37" s="356">
        <f t="shared" si="2"/>
        <v>796469.88249999995</v>
      </c>
      <c r="I37" s="357">
        <f t="shared" si="2"/>
        <v>838389.35</v>
      </c>
      <c r="J37" s="322"/>
    </row>
    <row r="38" spans="1:10" ht="25" customHeight="1" thickBot="1" x14ac:dyDescent="0.4">
      <c r="A38" s="565"/>
      <c r="B38" s="566"/>
      <c r="C38" s="566"/>
      <c r="D38" s="566"/>
      <c r="E38" s="566"/>
      <c r="F38" s="566"/>
      <c r="G38" s="566"/>
      <c r="H38" s="566"/>
      <c r="I38" s="566"/>
      <c r="J38" s="567"/>
    </row>
  </sheetData>
  <mergeCells count="30">
    <mergeCell ref="A1:J6"/>
    <mergeCell ref="A7:J7"/>
    <mergeCell ref="B9:J9"/>
    <mergeCell ref="B10:E10"/>
    <mergeCell ref="B11:E11"/>
    <mergeCell ref="B25:B26"/>
    <mergeCell ref="C25:C26"/>
    <mergeCell ref="E13:F13"/>
    <mergeCell ref="A16:A17"/>
    <mergeCell ref="B16:B17"/>
    <mergeCell ref="C16:C17"/>
    <mergeCell ref="A19:A20"/>
    <mergeCell ref="B19:B20"/>
    <mergeCell ref="C19:C20"/>
    <mergeCell ref="A38:J38"/>
    <mergeCell ref="A34:B34"/>
    <mergeCell ref="D34:I34"/>
    <mergeCell ref="A36:B37"/>
    <mergeCell ref="B12:E12"/>
    <mergeCell ref="F10:J12"/>
    <mergeCell ref="A28:A29"/>
    <mergeCell ref="B28:B29"/>
    <mergeCell ref="C28:C29"/>
    <mergeCell ref="A31:A32"/>
    <mergeCell ref="B31:B32"/>
    <mergeCell ref="C31:C32"/>
    <mergeCell ref="A22:A23"/>
    <mergeCell ref="B22:B23"/>
    <mergeCell ref="C22:C23"/>
    <mergeCell ref="A25:A26"/>
  </mergeCells>
  <conditionalFormatting sqref="D28:I29">
    <cfRule type="cellIs" dxfId="1" priority="18" operator="greaterThan">
      <formula>0</formula>
    </cfRule>
  </conditionalFormatting>
  <conditionalFormatting sqref="D16:I17 D31:I32 D25:I26 D22:I23 D19:I20">
    <cfRule type="cellIs" dxfId="0" priority="19" operator="greaterThan">
      <formula>0</formula>
    </cfRule>
  </conditionalFormatting>
  <printOptions horizontalCentered="1" verticalCentered="1"/>
  <pageMargins left="0" right="0" top="0.19685039370078741" bottom="0.19685039370078741" header="0" footer="0"/>
  <pageSetup paperSize="9" scale="7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21</vt:i4>
      </vt:variant>
    </vt:vector>
  </HeadingPairs>
  <TitlesOfParts>
    <vt:vector size="29" baseType="lpstr">
      <vt:lpstr>Planilha SINTÉTICA</vt:lpstr>
      <vt:lpstr>1. Serviços Manut. PREVENTIVA</vt:lpstr>
      <vt:lpstr>2 Mão de Obra Manut. Corretiva</vt:lpstr>
      <vt:lpstr>3 Serviços Manut. CORRETIVA</vt:lpstr>
      <vt:lpstr>4 -Composição_Equipe Preventiva</vt:lpstr>
      <vt:lpstr>Composição BDI</vt:lpstr>
      <vt:lpstr>Cronograma M_PRVENTIVA</vt:lpstr>
      <vt:lpstr>CRONOGRAMA M CORRETIVA</vt:lpstr>
      <vt:lpstr>Anual</vt:lpstr>
      <vt:lpstr>'1. Serviços Manut. PREVENTIVA'!Area_de_impressao</vt:lpstr>
      <vt:lpstr>'2 Mão de Obra Manut. Corretiva'!Area_de_impressao</vt:lpstr>
      <vt:lpstr>'3 Serviços Manut. CORRETIVA'!Area_de_impressao</vt:lpstr>
      <vt:lpstr>'4 -Composição_Equipe Preventiva'!Area_de_impressao</vt:lpstr>
      <vt:lpstr>'Composição BDI'!Area_de_impressao</vt:lpstr>
      <vt:lpstr>'CRONOGRAMA M CORRETIVA'!Area_de_impressao</vt:lpstr>
      <vt:lpstr>'Cronograma M_PRVENTIVA'!Area_de_impressao</vt:lpstr>
      <vt:lpstr>'Planilha SINTÉTICA'!Area_de_impressao</vt:lpstr>
      <vt:lpstr>'1. Serviços Manut. PREVENTIVA'!BDI</vt:lpstr>
      <vt:lpstr>'2 Mão de Obra Manut. Corretiva'!BDI</vt:lpstr>
      <vt:lpstr>'4 -Composição_Equipe Preventiva'!BDI</vt:lpstr>
      <vt:lpstr>'Planilha SINTÉTICA'!BDI</vt:lpstr>
      <vt:lpstr>Mensal</vt:lpstr>
      <vt:lpstr>Semestral</vt:lpstr>
      <vt:lpstr>serviços</vt:lpstr>
      <vt:lpstr>'1. Serviços Manut. PREVENTIVA'!Titulos_de_impressao</vt:lpstr>
      <vt:lpstr>'2 Mão de Obra Manut. Corretiva'!Titulos_de_impressao</vt:lpstr>
      <vt:lpstr>'3 Serviços Manut. CORRETIVA'!Titulos_de_impressao</vt:lpstr>
      <vt:lpstr>'4 -Composição_Equipe Preventiva'!Titulos_de_impressao</vt:lpstr>
      <vt:lpstr>'Planilha SINTÉTICA'!Titulos_de_impressao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personal</dc:creator>
  <cp:keywords/>
  <dc:description/>
  <cp:lastModifiedBy>Wandeilson Gomes de Almeida</cp:lastModifiedBy>
  <cp:revision>1</cp:revision>
  <cp:lastPrinted>2022-05-24T18:01:44Z</cp:lastPrinted>
  <dcterms:created xsi:type="dcterms:W3CDTF">2018-04-24T11:18:27Z</dcterms:created>
  <dcterms:modified xsi:type="dcterms:W3CDTF">2022-10-19T13:57:51Z</dcterms:modified>
  <cp:category/>
  <cp:contentStatus/>
</cp:coreProperties>
</file>